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ano-my.sharepoint.com/personal/markushays_whitson_com/Documents/whitsonPVT/Technical-Documents/sg-mw-models/excel-testing/"/>
    </mc:Choice>
  </mc:AlternateContent>
  <xr:revisionPtr revIDLastSave="8483" documentId="13_ncr:1_{1FFBCA24-6194-4B68-A5AD-9BBDD696E198}" xr6:coauthVersionLast="47" xr6:coauthVersionMax="47" xr10:uidLastSave="{ED2277FD-6ABE-4EB6-8840-A12F0B0F2417}"/>
  <bookViews>
    <workbookView xWindow="-120" yWindow="-120" windowWidth="29040" windowHeight="15840" activeTab="1" xr2:uid="{3FDBBA48-A82E-47C9-A2FB-1E6C7170E708}"/>
  </bookViews>
  <sheets>
    <sheet name="Input-Composition" sheetId="7" r:id="rId1"/>
    <sheet name="Calculate-MWs" sheetId="1" r:id="rId2"/>
    <sheet name="Molar-Compositions" sheetId="2" r:id="rId3"/>
    <sheet name="Total-Composition" sheetId="6" r:id="rId4"/>
    <sheet name="Mole-Composition-Plot" sheetId="3" r:id="rId5"/>
    <sheet name="Deviation-Plot" sheetId="4" r:id="rId6"/>
    <sheet name="Deviation-Plot-2" sheetId="5" r:id="rId7"/>
  </sheets>
  <definedNames>
    <definedName name="solver_adj" localSheetId="1" hidden="1">'Calculate-MWs'!$R$9:$R$31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'Calculate-MWs'!$AC$6</definedName>
    <definedName name="solver_pre" localSheetId="1" hidden="1">0.00000001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U9" i="1" s="1"/>
  <c r="V9" i="1" s="1"/>
  <c r="W9" i="1" s="1"/>
  <c r="X9" i="1" s="1"/>
  <c r="Y9" i="1"/>
  <c r="AB9" i="1"/>
  <c r="AG9" i="1"/>
  <c r="AH9" i="1"/>
  <c r="AD9" i="1" l="1"/>
  <c r="AC9" i="1"/>
  <c r="M9" i="1"/>
  <c r="N9" i="1" s="1"/>
  <c r="Q9" i="1" s="1"/>
  <c r="L9" i="1"/>
  <c r="K9" i="1"/>
  <c r="J9" i="1"/>
  <c r="I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9" i="1"/>
  <c r="H42" i="7"/>
  <c r="D19" i="7"/>
  <c r="F31" i="7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E9" i="1" l="1"/>
  <c r="Z9" i="1" s="1"/>
  <c r="AA9" i="1" s="1"/>
  <c r="P9" i="1"/>
  <c r="O9" i="1"/>
  <c r="Z12" i="6"/>
  <c r="Z11" i="6"/>
  <c r="S21" i="6"/>
  <c r="V44" i="6"/>
  <c r="V43" i="6"/>
  <c r="U43" i="6"/>
  <c r="V42" i="6"/>
  <c r="U42" i="6"/>
  <c r="V41" i="6"/>
  <c r="U41" i="6"/>
  <c r="V40" i="6"/>
  <c r="U40" i="6"/>
  <c r="V39" i="6"/>
  <c r="U39" i="6"/>
  <c r="V38" i="6"/>
  <c r="U38" i="6"/>
  <c r="V37" i="6"/>
  <c r="U37" i="6"/>
  <c r="V36" i="6"/>
  <c r="U36" i="6"/>
  <c r="V35" i="6"/>
  <c r="U35" i="6"/>
  <c r="V34" i="6"/>
  <c r="U34" i="6"/>
  <c r="V33" i="6"/>
  <c r="U33" i="6"/>
  <c r="V32" i="6"/>
  <c r="U32" i="6"/>
  <c r="V31" i="6"/>
  <c r="U31" i="6"/>
  <c r="V30" i="6"/>
  <c r="U30" i="6"/>
  <c r="V29" i="6"/>
  <c r="U29" i="6"/>
  <c r="V28" i="6"/>
  <c r="U28" i="6"/>
  <c r="V27" i="6"/>
  <c r="U27" i="6"/>
  <c r="V26" i="6"/>
  <c r="U26" i="6"/>
  <c r="V25" i="6"/>
  <c r="U25" i="6"/>
  <c r="V24" i="6"/>
  <c r="U24" i="6"/>
  <c r="V23" i="6"/>
  <c r="U23" i="6"/>
  <c r="V22" i="6"/>
  <c r="U22" i="6"/>
  <c r="V21" i="6"/>
  <c r="U21" i="6"/>
  <c r="V20" i="6"/>
  <c r="V19" i="6"/>
  <c r="V18" i="6"/>
  <c r="V17" i="6"/>
  <c r="V16" i="6"/>
  <c r="V15" i="6"/>
  <c r="V14" i="6"/>
  <c r="V13" i="6"/>
  <c r="V12" i="6"/>
  <c r="V11" i="6"/>
  <c r="V10" i="6"/>
  <c r="S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R21" i="6"/>
  <c r="S20" i="6"/>
  <c r="S19" i="6"/>
  <c r="S18" i="6"/>
  <c r="S17" i="6"/>
  <c r="S16" i="6"/>
  <c r="S15" i="6"/>
  <c r="S14" i="6"/>
  <c r="S13" i="6"/>
  <c r="S12" i="6"/>
  <c r="S11" i="6"/>
  <c r="S10" i="6"/>
  <c r="M9" i="2"/>
  <c r="G9" i="2" s="1"/>
  <c r="N9" i="2"/>
  <c r="H9" i="2" s="1"/>
  <c r="M10" i="2"/>
  <c r="G10" i="2" s="1"/>
  <c r="N10" i="2"/>
  <c r="M11" i="2"/>
  <c r="G11" i="2" s="1"/>
  <c r="N11" i="2"/>
  <c r="M12" i="2"/>
  <c r="G12" i="2" s="1"/>
  <c r="N12" i="2"/>
  <c r="M13" i="2"/>
  <c r="G13" i="2" s="1"/>
  <c r="N13" i="2"/>
  <c r="H13" i="2" s="1"/>
  <c r="M14" i="2"/>
  <c r="G14" i="2" s="1"/>
  <c r="N14" i="2"/>
  <c r="M15" i="2"/>
  <c r="G15" i="2" s="1"/>
  <c r="N15" i="2"/>
  <c r="M16" i="2"/>
  <c r="G16" i="2" s="1"/>
  <c r="N16" i="2"/>
  <c r="M17" i="2"/>
  <c r="G17" i="2" s="1"/>
  <c r="N17" i="2"/>
  <c r="H17" i="2" s="1"/>
  <c r="M18" i="2"/>
  <c r="G18" i="2" s="1"/>
  <c r="N18" i="2"/>
  <c r="M19" i="2"/>
  <c r="G19" i="2" s="1"/>
  <c r="N19" i="2"/>
  <c r="M20" i="2"/>
  <c r="G20" i="2" s="1"/>
  <c r="N20" i="2"/>
  <c r="M21" i="2"/>
  <c r="G21" i="2" s="1"/>
  <c r="N21" i="2"/>
  <c r="H21" i="2" s="1"/>
  <c r="M22" i="2"/>
  <c r="G22" i="2" s="1"/>
  <c r="N22" i="2"/>
  <c r="M23" i="2"/>
  <c r="G23" i="2" s="1"/>
  <c r="N23" i="2"/>
  <c r="M24" i="2"/>
  <c r="G24" i="2" s="1"/>
  <c r="N24" i="2"/>
  <c r="M25" i="2"/>
  <c r="G25" i="2" s="1"/>
  <c r="N25" i="2"/>
  <c r="H25" i="2" s="1"/>
  <c r="M26" i="2"/>
  <c r="G26" i="2" s="1"/>
  <c r="N26" i="2"/>
  <c r="M27" i="2"/>
  <c r="G27" i="2" s="1"/>
  <c r="N27" i="2"/>
  <c r="M28" i="2"/>
  <c r="G28" i="2" s="1"/>
  <c r="N28" i="2"/>
  <c r="M29" i="2"/>
  <c r="G29" i="2" s="1"/>
  <c r="N29" i="2"/>
  <c r="H29" i="2" s="1"/>
  <c r="M30" i="2"/>
  <c r="G30" i="2" s="1"/>
  <c r="N30" i="2"/>
  <c r="M31" i="2"/>
  <c r="G31" i="2" s="1"/>
  <c r="N8" i="2"/>
  <c r="M8" i="2"/>
  <c r="G8" i="2" s="1"/>
  <c r="AN32" i="1" a="1"/>
  <c r="AN32" i="1" s="1"/>
  <c r="N31" i="2" s="1"/>
  <c r="H31" i="2" s="1"/>
  <c r="AK32" i="1" a="1"/>
  <c r="AK32" i="1" s="1"/>
  <c r="R44" i="6" s="1"/>
  <c r="AB31" i="1"/>
  <c r="Z10" i="6"/>
  <c r="Z9" i="6"/>
  <c r="Z8" i="6"/>
  <c r="Z7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21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21" i="6"/>
  <c r="J10" i="6"/>
  <c r="J20" i="6"/>
  <c r="J19" i="6"/>
  <c r="J18" i="6"/>
  <c r="J17" i="6"/>
  <c r="J16" i="6"/>
  <c r="J15" i="6"/>
  <c r="J14" i="6"/>
  <c r="J13" i="6"/>
  <c r="J12" i="6"/>
  <c r="J11" i="6"/>
  <c r="G20" i="6"/>
  <c r="G19" i="6"/>
  <c r="G18" i="6"/>
  <c r="G17" i="6"/>
  <c r="G16" i="6"/>
  <c r="G15" i="6"/>
  <c r="G14" i="6"/>
  <c r="G13" i="6"/>
  <c r="G12" i="6"/>
  <c r="G11" i="6"/>
  <c r="G10" i="6"/>
  <c r="H20" i="2" l="1"/>
  <c r="G32" i="2"/>
  <c r="H24" i="2"/>
  <c r="H27" i="2"/>
  <c r="H23" i="2"/>
  <c r="H15" i="2"/>
  <c r="H11" i="2"/>
  <c r="H12" i="2"/>
  <c r="H8" i="2"/>
  <c r="H19" i="2"/>
  <c r="H16" i="2"/>
  <c r="H30" i="2"/>
  <c r="H26" i="2"/>
  <c r="H22" i="2"/>
  <c r="H18" i="2"/>
  <c r="H14" i="2"/>
  <c r="H10" i="2"/>
  <c r="H28" i="2"/>
  <c r="W31" i="6" a="1"/>
  <c r="W31" i="6" s="1"/>
  <c r="W11" i="6" a="1"/>
  <c r="W11" i="6" s="1"/>
  <c r="U44" i="6"/>
  <c r="W42" i="6" s="1" a="1"/>
  <c r="W42" i="6" s="1"/>
  <c r="W16" i="6" a="1"/>
  <c r="W16" i="6" s="1"/>
  <c r="W25" i="6" a="1"/>
  <c r="W25" i="6" s="1"/>
  <c r="W24" i="6" a="1"/>
  <c r="W24" i="6" s="1"/>
  <c r="W14" i="6" a="1"/>
  <c r="W14" i="6" s="1"/>
  <c r="W17" i="6" a="1"/>
  <c r="W17" i="6" s="1"/>
  <c r="T10" i="6" a="1"/>
  <c r="T10" i="6" s="1"/>
  <c r="T21" i="6" a="1"/>
  <c r="T21" i="6" s="1"/>
  <c r="T25" i="6" a="1"/>
  <c r="T25" i="6" s="1"/>
  <c r="T29" i="6" a="1"/>
  <c r="T29" i="6" s="1"/>
  <c r="T33" i="6" a="1"/>
  <c r="T33" i="6" s="1"/>
  <c r="T37" i="6" a="1"/>
  <c r="T37" i="6" s="1"/>
  <c r="T41" i="6" a="1"/>
  <c r="T41" i="6" s="1"/>
  <c r="T18" i="6" a="1"/>
  <c r="T18" i="6" s="1"/>
  <c r="T16" i="6" a="1"/>
  <c r="T16" i="6" s="1"/>
  <c r="T22" i="6" a="1"/>
  <c r="T22" i="6" s="1"/>
  <c r="T26" i="6" a="1"/>
  <c r="T26" i="6" s="1"/>
  <c r="T30" i="6" a="1"/>
  <c r="T30" i="6" s="1"/>
  <c r="T34" i="6" a="1"/>
  <c r="T34" i="6" s="1"/>
  <c r="T38" i="6" a="1"/>
  <c r="T38" i="6" s="1"/>
  <c r="T42" i="6" a="1"/>
  <c r="T42" i="6" s="1"/>
  <c r="T15" i="6" a="1"/>
  <c r="T15" i="6" s="1"/>
  <c r="T17" i="6" a="1"/>
  <c r="T17" i="6" s="1"/>
  <c r="T27" i="6" a="1"/>
  <c r="T27" i="6" s="1"/>
  <c r="T31" i="6" a="1"/>
  <c r="T31" i="6" s="1"/>
  <c r="T35" i="6" a="1"/>
  <c r="T35" i="6" s="1"/>
  <c r="T39" i="6" a="1"/>
  <c r="T39" i="6" s="1"/>
  <c r="T43" i="6" a="1"/>
  <c r="T43" i="6" s="1"/>
  <c r="T23" i="6" a="1"/>
  <c r="T23" i="6" s="1"/>
  <c r="T19" i="6" a="1"/>
  <c r="T19" i="6" s="1"/>
  <c r="T20" i="6" a="1"/>
  <c r="T20" i="6" s="1"/>
  <c r="T24" i="6" a="1"/>
  <c r="T24" i="6" s="1"/>
  <c r="T28" i="6" a="1"/>
  <c r="T28" i="6" s="1"/>
  <c r="T32" i="6" a="1"/>
  <c r="T32" i="6" s="1"/>
  <c r="T36" i="6" a="1"/>
  <c r="T36" i="6" s="1"/>
  <c r="T40" i="6" a="1"/>
  <c r="T40" i="6" s="1"/>
  <c r="T44" i="6" a="1"/>
  <c r="T44" i="6" s="1"/>
  <c r="T13" i="6" a="1"/>
  <c r="T13" i="6" s="1"/>
  <c r="T11" i="6" a="1"/>
  <c r="T11" i="6" s="1"/>
  <c r="T14" i="6" a="1"/>
  <c r="T14" i="6" s="1"/>
  <c r="T12" i="6" a="1"/>
  <c r="T12" i="6" s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R32" i="1" a="1"/>
  <c r="R32" i="1" s="1"/>
  <c r="C42" i="1"/>
  <c r="E32" i="1"/>
  <c r="B41" i="1" s="1"/>
  <c r="E31" i="1"/>
  <c r="B30" i="2" s="1"/>
  <c r="E30" i="1"/>
  <c r="B29" i="2" s="1"/>
  <c r="E29" i="1"/>
  <c r="B38" i="1" s="1"/>
  <c r="E28" i="1"/>
  <c r="B37" i="1" s="1"/>
  <c r="E27" i="1"/>
  <c r="B26" i="2" s="1"/>
  <c r="E26" i="1"/>
  <c r="B25" i="2" s="1"/>
  <c r="E25" i="1"/>
  <c r="B34" i="1" s="1"/>
  <c r="E24" i="1"/>
  <c r="B33" i="1" s="1"/>
  <c r="E23" i="1"/>
  <c r="B22" i="2" s="1"/>
  <c r="E22" i="1"/>
  <c r="B21" i="2" s="1"/>
  <c r="E21" i="1"/>
  <c r="B30" i="1" s="1"/>
  <c r="E20" i="1"/>
  <c r="B29" i="1" s="1"/>
  <c r="E19" i="1"/>
  <c r="B18" i="2" s="1"/>
  <c r="E18" i="1"/>
  <c r="B17" i="2" s="1"/>
  <c r="E17" i="1"/>
  <c r="B16" i="2" s="1"/>
  <c r="E16" i="1"/>
  <c r="B15" i="2" s="1"/>
  <c r="E15" i="1"/>
  <c r="B14" i="2" s="1"/>
  <c r="E14" i="1"/>
  <c r="B13" i="2" s="1"/>
  <c r="E13" i="1"/>
  <c r="B22" i="1" s="1"/>
  <c r="E12" i="1"/>
  <c r="B21" i="1" s="1"/>
  <c r="E11" i="1"/>
  <c r="B20" i="1" s="1"/>
  <c r="E10" i="1"/>
  <c r="B19" i="1" s="1"/>
  <c r="E9" i="1"/>
  <c r="B8" i="2" s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C11" i="1"/>
  <c r="W10" i="6" l="1" a="1"/>
  <c r="W10" i="6" s="1"/>
  <c r="W40" i="6" a="1"/>
  <c r="W40" i="6" s="1"/>
  <c r="W21" i="6" a="1"/>
  <c r="W21" i="6" s="1"/>
  <c r="W19" i="6" a="1"/>
  <c r="W19" i="6" s="1"/>
  <c r="W39" i="6" a="1"/>
  <c r="W39" i="6" s="1"/>
  <c r="W13" i="6" a="1"/>
  <c r="W13" i="6" s="1"/>
  <c r="W44" i="6" a="1"/>
  <c r="W44" i="6" s="1"/>
  <c r="W18" i="6" a="1"/>
  <c r="W18" i="6" s="1"/>
  <c r="W41" i="6" a="1"/>
  <c r="W41" i="6" s="1"/>
  <c r="W32" i="6" a="1"/>
  <c r="W32" i="6" s="1"/>
  <c r="W35" i="6" a="1"/>
  <c r="W35" i="6" s="1"/>
  <c r="W30" i="6" a="1"/>
  <c r="W30" i="6" s="1"/>
  <c r="W23" i="6" a="1"/>
  <c r="W23" i="6" s="1"/>
  <c r="W36" i="6" a="1"/>
  <c r="W36" i="6" s="1"/>
  <c r="W37" i="6" a="1"/>
  <c r="W37" i="6" s="1"/>
  <c r="W28" i="6" a="1"/>
  <c r="W28" i="6" s="1"/>
  <c r="W27" i="6" a="1"/>
  <c r="W27" i="6" s="1"/>
  <c r="W22" i="6" a="1"/>
  <c r="W22" i="6" s="1"/>
  <c r="W43" i="6" a="1"/>
  <c r="W43" i="6" s="1"/>
  <c r="W12" i="6" a="1"/>
  <c r="W12" i="6" s="1"/>
  <c r="W33" i="6" a="1"/>
  <c r="W33" i="6" s="1"/>
  <c r="W20" i="6" a="1"/>
  <c r="W20" i="6" s="1"/>
  <c r="W15" i="6" a="1"/>
  <c r="W15" i="6" s="1"/>
  <c r="W34" i="6" a="1"/>
  <c r="W34" i="6" s="1"/>
  <c r="W26" i="6" a="1"/>
  <c r="W26" i="6" s="1"/>
  <c r="W29" i="6" a="1"/>
  <c r="W29" i="6" s="1"/>
  <c r="W38" i="6" a="1"/>
  <c r="W38" i="6" s="1"/>
  <c r="H32" i="2"/>
  <c r="C12" i="1"/>
  <c r="AG29" i="1" s="1"/>
  <c r="AG14" i="1"/>
  <c r="I31" i="2"/>
  <c r="L44" i="6"/>
  <c r="K31" i="2"/>
  <c r="E13" i="2" s="1"/>
  <c r="B23" i="1"/>
  <c r="B31" i="1"/>
  <c r="B39" i="1"/>
  <c r="B12" i="2"/>
  <c r="B24" i="2"/>
  <c r="B31" i="2"/>
  <c r="B24" i="1"/>
  <c r="B32" i="1"/>
  <c r="B40" i="1"/>
  <c r="B11" i="2"/>
  <c r="B23" i="2"/>
  <c r="B25" i="1"/>
  <c r="B10" i="2"/>
  <c r="B18" i="1"/>
  <c r="B26" i="1"/>
  <c r="B9" i="2"/>
  <c r="J31" i="2"/>
  <c r="B27" i="1"/>
  <c r="B35" i="1"/>
  <c r="B28" i="2"/>
  <c r="B20" i="2"/>
  <c r="B28" i="1"/>
  <c r="B36" i="1"/>
  <c r="B27" i="2"/>
  <c r="B19" i="2"/>
  <c r="G12" i="1"/>
  <c r="AH28" i="1"/>
  <c r="AH13" i="1"/>
  <c r="AH21" i="1"/>
  <c r="AH24" i="1"/>
  <c r="G30" i="1"/>
  <c r="G26" i="1"/>
  <c r="H26" i="1" s="1"/>
  <c r="I26" i="1" s="1"/>
  <c r="J26" i="1" s="1"/>
  <c r="AM26" i="1" s="1"/>
  <c r="G31" i="1"/>
  <c r="G23" i="1"/>
  <c r="G21" i="1"/>
  <c r="AG20" i="1" l="1"/>
  <c r="S21" i="1"/>
  <c r="AI21" i="1"/>
  <c r="AJ21" i="1" s="1"/>
  <c r="S30" i="1"/>
  <c r="AI30" i="1"/>
  <c r="AH23" i="1"/>
  <c r="L22" i="2" s="1"/>
  <c r="AH20" i="1"/>
  <c r="L19" i="2" s="1"/>
  <c r="AH27" i="1"/>
  <c r="O39" i="6" s="1"/>
  <c r="S12" i="1"/>
  <c r="AI12" i="1"/>
  <c r="AJ12" i="1" s="1"/>
  <c r="G16" i="1"/>
  <c r="AH25" i="1"/>
  <c r="L24" i="2" s="1"/>
  <c r="AH26" i="1"/>
  <c r="AG30" i="1"/>
  <c r="S26" i="1"/>
  <c r="AI26" i="1"/>
  <c r="AJ26" i="1" s="1"/>
  <c r="G17" i="1"/>
  <c r="G20" i="1"/>
  <c r="G22" i="1"/>
  <c r="AH17" i="1"/>
  <c r="O29" i="6" s="1"/>
  <c r="AH18" i="1"/>
  <c r="AG23" i="1"/>
  <c r="S23" i="1"/>
  <c r="AI23" i="1"/>
  <c r="AJ23" i="1" s="1"/>
  <c r="S31" i="1"/>
  <c r="AI31" i="1"/>
  <c r="AJ31" i="1" s="1"/>
  <c r="AH15" i="1"/>
  <c r="G28" i="1"/>
  <c r="I27" i="2" s="1"/>
  <c r="G10" i="1"/>
  <c r="AH22" i="1"/>
  <c r="L21" i="2" s="1"/>
  <c r="AH10" i="1"/>
  <c r="O22" i="6" s="1"/>
  <c r="AG17" i="1"/>
  <c r="G13" i="1"/>
  <c r="G25" i="1"/>
  <c r="AH30" i="1"/>
  <c r="L29" i="2" s="1"/>
  <c r="AH12" i="1"/>
  <c r="L11" i="2" s="1"/>
  <c r="AG25" i="1"/>
  <c r="AG18" i="1"/>
  <c r="G18" i="1"/>
  <c r="AH19" i="1"/>
  <c r="O31" i="6" s="1"/>
  <c r="AG26" i="1"/>
  <c r="G29" i="1"/>
  <c r="AH16" i="1"/>
  <c r="O28" i="6" s="1"/>
  <c r="AH14" i="1"/>
  <c r="L13" i="2" s="1"/>
  <c r="G15" i="1"/>
  <c r="H15" i="1" s="1"/>
  <c r="I15" i="1" s="1"/>
  <c r="G19" i="1"/>
  <c r="AH31" i="1"/>
  <c r="AH29" i="1"/>
  <c r="AH11" i="1"/>
  <c r="O23" i="6" s="1"/>
  <c r="AG27" i="1"/>
  <c r="AJ30" i="1"/>
  <c r="AG31" i="1"/>
  <c r="AG28" i="1"/>
  <c r="F34" i="6"/>
  <c r="O36" i="6"/>
  <c r="L23" i="2"/>
  <c r="F40" i="6"/>
  <c r="F29" i="6"/>
  <c r="AG15" i="1"/>
  <c r="AG10" i="1"/>
  <c r="AG12" i="1"/>
  <c r="F37" i="6"/>
  <c r="O43" i="6"/>
  <c r="L30" i="2"/>
  <c r="L10" i="2"/>
  <c r="O35" i="6"/>
  <c r="I15" i="2"/>
  <c r="F28" i="6"/>
  <c r="F38" i="6"/>
  <c r="L14" i="2"/>
  <c r="O27" i="6"/>
  <c r="L12" i="2"/>
  <c r="O25" i="6"/>
  <c r="O30" i="6"/>
  <c r="L17" i="2"/>
  <c r="AG22" i="1"/>
  <c r="AG24" i="1"/>
  <c r="AG13" i="1"/>
  <c r="F33" i="6"/>
  <c r="H10" i="1"/>
  <c r="I10" i="1" s="1"/>
  <c r="J10" i="1" s="1"/>
  <c r="F22" i="6"/>
  <c r="O37" i="6"/>
  <c r="L27" i="2"/>
  <c r="O40" i="6"/>
  <c r="AG16" i="1"/>
  <c r="AG11" i="1"/>
  <c r="AG21" i="1"/>
  <c r="F25" i="6"/>
  <c r="L28" i="2"/>
  <c r="O41" i="6"/>
  <c r="L20" i="2"/>
  <c r="O33" i="6"/>
  <c r="O38" i="6"/>
  <c r="L25" i="2"/>
  <c r="F35" i="6"/>
  <c r="H30" i="1"/>
  <c r="I30" i="1" s="1"/>
  <c r="J30" i="1" s="1"/>
  <c r="F42" i="6"/>
  <c r="F24" i="6"/>
  <c r="AG19" i="1"/>
  <c r="F32" i="6"/>
  <c r="F43" i="6"/>
  <c r="I18" i="2"/>
  <c r="F31" i="6"/>
  <c r="O21" i="6"/>
  <c r="L8" i="2"/>
  <c r="G27" i="1"/>
  <c r="AI9" i="1"/>
  <c r="AJ9" i="1" s="1"/>
  <c r="G11" i="1"/>
  <c r="G14" i="1"/>
  <c r="G24" i="1"/>
  <c r="E17" i="2"/>
  <c r="E18" i="2"/>
  <c r="E10" i="2"/>
  <c r="E26" i="2"/>
  <c r="E31" i="2"/>
  <c r="E27" i="2"/>
  <c r="E23" i="2"/>
  <c r="E11" i="2"/>
  <c r="E14" i="2"/>
  <c r="E19" i="2"/>
  <c r="E30" i="2"/>
  <c r="E28" i="2"/>
  <c r="E12" i="2"/>
  <c r="E29" i="2"/>
  <c r="E22" i="2"/>
  <c r="E25" i="2"/>
  <c r="E24" i="2"/>
  <c r="E9" i="2"/>
  <c r="E16" i="2"/>
  <c r="E21" i="2"/>
  <c r="E8" i="2"/>
  <c r="E20" i="2"/>
  <c r="E15" i="2"/>
  <c r="N29" i="6" a="1"/>
  <c r="N29" i="6" s="1"/>
  <c r="N34" i="6" a="1"/>
  <c r="N34" i="6" s="1"/>
  <c r="N25" i="6" a="1"/>
  <c r="N25" i="6" s="1"/>
  <c r="N26" i="6" a="1"/>
  <c r="N26" i="6" s="1"/>
  <c r="N38" i="6" a="1"/>
  <c r="N38" i="6" s="1"/>
  <c r="N11" i="6" a="1"/>
  <c r="N11" i="6" s="1"/>
  <c r="N30" i="6" a="1"/>
  <c r="N30" i="6" s="1"/>
  <c r="N42" i="6" a="1"/>
  <c r="N42" i="6" s="1"/>
  <c r="N44" i="6" a="1"/>
  <c r="N44" i="6" s="1"/>
  <c r="N18" i="6" a="1"/>
  <c r="N18" i="6" s="1"/>
  <c r="N41" i="6" a="1"/>
  <c r="N41" i="6" s="1"/>
  <c r="N14" i="6" a="1"/>
  <c r="N14" i="6" s="1"/>
  <c r="N23" i="6" a="1"/>
  <c r="N23" i="6" s="1"/>
  <c r="N24" i="6" a="1"/>
  <c r="N24" i="6" s="1"/>
  <c r="N13" i="6" a="1"/>
  <c r="N13" i="6" s="1"/>
  <c r="N27" i="6" a="1"/>
  <c r="N27" i="6" s="1"/>
  <c r="N28" i="6" a="1"/>
  <c r="N28" i="6" s="1"/>
  <c r="N37" i="6" a="1"/>
  <c r="N37" i="6" s="1"/>
  <c r="N35" i="6" a="1"/>
  <c r="N35" i="6" s="1"/>
  <c r="N20" i="6" a="1"/>
  <c r="N20" i="6" s="1"/>
  <c r="N32" i="6" a="1"/>
  <c r="N32" i="6" s="1"/>
  <c r="N39" i="6" a="1"/>
  <c r="N39" i="6" s="1"/>
  <c r="N10" i="6" a="1"/>
  <c r="N10" i="6" s="1"/>
  <c r="N40" i="6" a="1"/>
  <c r="N40" i="6" s="1"/>
  <c r="N31" i="6" a="1"/>
  <c r="N31" i="6" s="1"/>
  <c r="N15" i="6" a="1"/>
  <c r="N15" i="6" s="1"/>
  <c r="N43" i="6" a="1"/>
  <c r="N43" i="6" s="1"/>
  <c r="N16" i="6" a="1"/>
  <c r="N16" i="6" s="1"/>
  <c r="N12" i="6" a="1"/>
  <c r="N12" i="6" s="1"/>
  <c r="N36" i="6" a="1"/>
  <c r="N36" i="6" s="1"/>
  <c r="N22" i="6" a="1"/>
  <c r="N22" i="6" s="1"/>
  <c r="N17" i="6" a="1"/>
  <c r="N17" i="6" s="1"/>
  <c r="N19" i="6" a="1"/>
  <c r="N19" i="6" s="1"/>
  <c r="N21" i="6" a="1"/>
  <c r="N21" i="6" s="1"/>
  <c r="N33" i="6" a="1"/>
  <c r="N33" i="6" s="1"/>
  <c r="I11" i="2"/>
  <c r="H12" i="1"/>
  <c r="I12" i="1" s="1"/>
  <c r="J12" i="1" s="1"/>
  <c r="I19" i="2"/>
  <c r="I20" i="2"/>
  <c r="I30" i="2"/>
  <c r="I9" i="2"/>
  <c r="I16" i="2"/>
  <c r="I24" i="2"/>
  <c r="I21" i="2"/>
  <c r="I29" i="2"/>
  <c r="I22" i="2"/>
  <c r="I25" i="2"/>
  <c r="I12" i="2"/>
  <c r="H19" i="1"/>
  <c r="I19" i="1" s="1"/>
  <c r="J19" i="1" s="1"/>
  <c r="H16" i="1"/>
  <c r="I16" i="1" s="1"/>
  <c r="J16" i="1" s="1"/>
  <c r="H22" i="1"/>
  <c r="I22" i="1" s="1"/>
  <c r="J22" i="1" s="1"/>
  <c r="H23" i="1"/>
  <c r="I23" i="1" s="1"/>
  <c r="H25" i="1"/>
  <c r="I25" i="1" s="1"/>
  <c r="H28" i="1"/>
  <c r="I28" i="1" s="1"/>
  <c r="J28" i="1" s="1"/>
  <c r="H31" i="1"/>
  <c r="I31" i="1" s="1"/>
  <c r="K26" i="1"/>
  <c r="L26" i="1" s="1"/>
  <c r="H13" i="1"/>
  <c r="I13" i="1" s="1"/>
  <c r="H20" i="1"/>
  <c r="I20" i="1" s="1"/>
  <c r="J20" i="1" s="1"/>
  <c r="H21" i="1"/>
  <c r="I21" i="1" s="1"/>
  <c r="L26" i="2" l="1"/>
  <c r="L9" i="2"/>
  <c r="N26" i="1"/>
  <c r="Q26" i="1" s="1"/>
  <c r="I14" i="2"/>
  <c r="L16" i="2"/>
  <c r="S24" i="1"/>
  <c r="AI24" i="1"/>
  <c r="AJ24" i="1" s="1"/>
  <c r="O32" i="6"/>
  <c r="L15" i="2"/>
  <c r="S15" i="1"/>
  <c r="AI15" i="1"/>
  <c r="AJ15" i="1" s="1"/>
  <c r="S17" i="1"/>
  <c r="AI17" i="1"/>
  <c r="AJ17" i="1" s="1"/>
  <c r="H17" i="1"/>
  <c r="I17" i="1" s="1"/>
  <c r="S14" i="1"/>
  <c r="AI14" i="1"/>
  <c r="AJ14" i="1" s="1"/>
  <c r="K10" i="1"/>
  <c r="L10" i="1" s="1"/>
  <c r="AM10" i="1"/>
  <c r="S18" i="1"/>
  <c r="AI18" i="1"/>
  <c r="AJ18" i="1" s="1"/>
  <c r="H29" i="1"/>
  <c r="I29" i="1" s="1"/>
  <c r="J29" i="1" s="1"/>
  <c r="K19" i="1"/>
  <c r="L19" i="1" s="1"/>
  <c r="AM19" i="1"/>
  <c r="H9" i="1"/>
  <c r="S27" i="1"/>
  <c r="AI27" i="1"/>
  <c r="AJ27" i="1" s="1"/>
  <c r="S10" i="1"/>
  <c r="AI10" i="1"/>
  <c r="AJ10" i="1" s="1"/>
  <c r="K16" i="1"/>
  <c r="L16" i="1" s="1"/>
  <c r="AM16" i="1"/>
  <c r="K28" i="1"/>
  <c r="L28" i="1" s="1"/>
  <c r="N28" i="1" s="1"/>
  <c r="AM28" i="1"/>
  <c r="I28" i="2"/>
  <c r="O24" i="6"/>
  <c r="K30" i="1"/>
  <c r="L30" i="1" s="1"/>
  <c r="N30" i="1" s="1"/>
  <c r="Q30" i="1" s="1"/>
  <c r="O30" i="1" s="1"/>
  <c r="AM30" i="1"/>
  <c r="S25" i="1"/>
  <c r="AI25" i="1"/>
  <c r="AJ25" i="1" s="1"/>
  <c r="S28" i="1"/>
  <c r="AI28" i="1"/>
  <c r="AJ28" i="1" s="1"/>
  <c r="K20" i="1"/>
  <c r="L20" i="1" s="1"/>
  <c r="N20" i="1" s="1"/>
  <c r="Q20" i="1" s="1"/>
  <c r="AM20" i="1"/>
  <c r="O34" i="6"/>
  <c r="S13" i="1"/>
  <c r="AI13" i="1"/>
  <c r="AJ13" i="1" s="1"/>
  <c r="S22" i="1"/>
  <c r="AI22" i="1"/>
  <c r="AJ22" i="1" s="1"/>
  <c r="S16" i="1"/>
  <c r="AI16" i="1"/>
  <c r="AJ16" i="1" s="1"/>
  <c r="K22" i="1"/>
  <c r="L22" i="1" s="1"/>
  <c r="N22" i="1" s="1"/>
  <c r="Q22" i="1" s="1"/>
  <c r="O22" i="1" s="1"/>
  <c r="AM22" i="1"/>
  <c r="S11" i="1"/>
  <c r="AI11" i="1"/>
  <c r="AJ11" i="1" s="1"/>
  <c r="K12" i="1"/>
  <c r="L12" i="1" s="1"/>
  <c r="N12" i="1" s="1"/>
  <c r="Q12" i="1" s="1"/>
  <c r="O12" i="1" s="1"/>
  <c r="AM12" i="1"/>
  <c r="S29" i="1"/>
  <c r="AI29" i="1"/>
  <c r="AJ29" i="1" s="1"/>
  <c r="F41" i="6"/>
  <c r="S19" i="1"/>
  <c r="AI19" i="1"/>
  <c r="AJ19" i="1" s="1"/>
  <c r="S20" i="1"/>
  <c r="AI20" i="1"/>
  <c r="AJ20" i="1" s="1"/>
  <c r="H18" i="1"/>
  <c r="I18" i="1" s="1"/>
  <c r="J18" i="1" s="1"/>
  <c r="F27" i="6"/>
  <c r="O42" i="6"/>
  <c r="L18" i="2"/>
  <c r="AH32" i="1" a="1"/>
  <c r="AH32" i="1" s="1"/>
  <c r="O44" i="6" s="1"/>
  <c r="F30" i="6"/>
  <c r="O26" i="6"/>
  <c r="I17" i="2"/>
  <c r="H14" i="1"/>
  <c r="I14" i="1" s="1"/>
  <c r="J14" i="1" s="1"/>
  <c r="F26" i="6"/>
  <c r="I13" i="2"/>
  <c r="I8" i="2"/>
  <c r="H11" i="1"/>
  <c r="I11" i="1" s="1"/>
  <c r="J11" i="1" s="1"/>
  <c r="F23" i="6"/>
  <c r="I10" i="2"/>
  <c r="F39" i="6"/>
  <c r="I26" i="2"/>
  <c r="H27" i="1"/>
  <c r="I27" i="1" s="1"/>
  <c r="J27" i="1" s="1"/>
  <c r="G32" i="1" a="1"/>
  <c r="G32" i="1" s="1"/>
  <c r="F44" i="6" s="1"/>
  <c r="F21" i="6"/>
  <c r="N10" i="1"/>
  <c r="Q10" i="1" s="1"/>
  <c r="N19" i="1"/>
  <c r="H24" i="1"/>
  <c r="I24" i="1" s="1"/>
  <c r="J24" i="1" s="1"/>
  <c r="F36" i="6"/>
  <c r="I23" i="2"/>
  <c r="E32" i="2"/>
  <c r="N16" i="1"/>
  <c r="J21" i="1"/>
  <c r="J15" i="1"/>
  <c r="J25" i="1"/>
  <c r="J13" i="1"/>
  <c r="J31" i="1"/>
  <c r="J17" i="1"/>
  <c r="J23" i="1"/>
  <c r="I22" i="6" l="1"/>
  <c r="O10" i="1"/>
  <c r="I38" i="6"/>
  <c r="O26" i="1"/>
  <c r="I32" i="6"/>
  <c r="O20" i="1"/>
  <c r="P26" i="1"/>
  <c r="T26" i="1"/>
  <c r="U26" i="1" s="1"/>
  <c r="AD26" i="1" s="1"/>
  <c r="Q32" i="6" a="1"/>
  <c r="Q32" i="6" s="1"/>
  <c r="C28" i="2"/>
  <c r="Q28" i="2" s="1"/>
  <c r="W28" i="2" s="1"/>
  <c r="Q44" i="6" a="1"/>
  <c r="Q44" i="6" s="1"/>
  <c r="Q34" i="6" a="1"/>
  <c r="Q34" i="6" s="1"/>
  <c r="I42" i="6"/>
  <c r="P30" i="1"/>
  <c r="I34" i="6"/>
  <c r="T22" i="1"/>
  <c r="U22" i="1" s="1"/>
  <c r="V22" i="1" s="1"/>
  <c r="W22" i="1" s="1"/>
  <c r="X22" i="1" s="1"/>
  <c r="AC22" i="1" s="1"/>
  <c r="K29" i="1"/>
  <c r="L29" i="1" s="1"/>
  <c r="N29" i="1" s="1"/>
  <c r="Q29" i="1" s="1"/>
  <c r="AM29" i="1"/>
  <c r="K17" i="1"/>
  <c r="L17" i="1" s="1"/>
  <c r="N17" i="1" s="1"/>
  <c r="Q17" i="1" s="1"/>
  <c r="AM17" i="1"/>
  <c r="K24" i="1"/>
  <c r="L24" i="1" s="1"/>
  <c r="N24" i="1" s="1"/>
  <c r="Q24" i="1" s="1"/>
  <c r="AM24" i="1"/>
  <c r="Q36" i="6" a="1"/>
  <c r="Q36" i="6" s="1"/>
  <c r="F19" i="2"/>
  <c r="Q18" i="6" a="1"/>
  <c r="Q18" i="6" s="1"/>
  <c r="K15" i="1"/>
  <c r="L15" i="1" s="1"/>
  <c r="N15" i="1" s="1"/>
  <c r="Q15" i="1" s="1"/>
  <c r="AM15" i="1"/>
  <c r="K11" i="1"/>
  <c r="L11" i="1" s="1"/>
  <c r="AM11" i="1"/>
  <c r="K31" i="1"/>
  <c r="L31" i="1" s="1"/>
  <c r="N31" i="1" s="1"/>
  <c r="AM31" i="1"/>
  <c r="K13" i="1"/>
  <c r="L13" i="1" s="1"/>
  <c r="N13" i="1" s="1"/>
  <c r="Q13" i="1" s="1"/>
  <c r="AM13" i="1"/>
  <c r="L31" i="2"/>
  <c r="F11" i="2" s="1"/>
  <c r="K18" i="1"/>
  <c r="L18" i="1" s="1"/>
  <c r="N18" i="1" s="1"/>
  <c r="Q18" i="1" s="1"/>
  <c r="T18" i="1" s="1"/>
  <c r="U18" i="1" s="1"/>
  <c r="V18" i="1" s="1"/>
  <c r="W18" i="1" s="1"/>
  <c r="X18" i="1" s="1"/>
  <c r="AC18" i="1" s="1"/>
  <c r="AM18" i="1"/>
  <c r="AM9" i="1"/>
  <c r="K21" i="1"/>
  <c r="L21" i="1" s="1"/>
  <c r="N21" i="1" s="1"/>
  <c r="Q21" i="1" s="1"/>
  <c r="P21" i="1" s="1"/>
  <c r="AM21" i="1"/>
  <c r="K27" i="1"/>
  <c r="L27" i="1" s="1"/>
  <c r="N27" i="1" s="1"/>
  <c r="Q27" i="1" s="1"/>
  <c r="O27" i="1" s="1"/>
  <c r="AM27" i="1"/>
  <c r="K23" i="1"/>
  <c r="L23" i="1" s="1"/>
  <c r="N23" i="1" s="1"/>
  <c r="Q23" i="1" s="1"/>
  <c r="AM23" i="1"/>
  <c r="F30" i="2"/>
  <c r="K25" i="1"/>
  <c r="L25" i="1" s="1"/>
  <c r="N25" i="1" s="1"/>
  <c r="Q25" i="1" s="1"/>
  <c r="AM25" i="1"/>
  <c r="K14" i="1"/>
  <c r="L14" i="1" s="1"/>
  <c r="N14" i="1" s="1"/>
  <c r="AM14" i="1"/>
  <c r="T30" i="1"/>
  <c r="U30" i="1" s="1"/>
  <c r="AD30" i="1" s="1"/>
  <c r="H36" i="6" a="1"/>
  <c r="H36" i="6" s="1"/>
  <c r="F9" i="2"/>
  <c r="Q12" i="6" a="1"/>
  <c r="Q12" i="6" s="1"/>
  <c r="F15" i="2"/>
  <c r="Q35" i="6" a="1"/>
  <c r="Q35" i="6" s="1"/>
  <c r="H33" i="6" a="1"/>
  <c r="H33" i="6" s="1"/>
  <c r="Q13" i="6" a="1"/>
  <c r="Q13" i="6" s="1"/>
  <c r="F18" i="2"/>
  <c r="F20" i="2"/>
  <c r="Q30" i="6" a="1"/>
  <c r="Q30" i="6" s="1"/>
  <c r="C17" i="2"/>
  <c r="C10" i="2"/>
  <c r="O10" i="2" s="1"/>
  <c r="U10" i="2" s="1"/>
  <c r="Q24" i="6" a="1"/>
  <c r="Q24" i="6" s="1"/>
  <c r="I24" i="6"/>
  <c r="J11" i="2"/>
  <c r="P12" i="1"/>
  <c r="T12" i="1"/>
  <c r="U12" i="1" s="1"/>
  <c r="AD12" i="1" s="1"/>
  <c r="C9" i="2"/>
  <c r="C29" i="2"/>
  <c r="Q29" i="2" s="1"/>
  <c r="W29" i="2" s="1"/>
  <c r="H24" i="6" a="1"/>
  <c r="H24" i="6" s="1"/>
  <c r="C15" i="2"/>
  <c r="H41" i="6" a="1"/>
  <c r="H41" i="6" s="1"/>
  <c r="H40" i="6" a="1"/>
  <c r="H40" i="6" s="1"/>
  <c r="H43" i="6" a="1"/>
  <c r="H43" i="6" s="1"/>
  <c r="C27" i="2"/>
  <c r="J17" i="2"/>
  <c r="N11" i="1"/>
  <c r="Q11" i="1" s="1"/>
  <c r="O11" i="1" s="1"/>
  <c r="P22" i="1"/>
  <c r="Q28" i="1"/>
  <c r="P28" i="1" s="1"/>
  <c r="C14" i="2"/>
  <c r="C22" i="2"/>
  <c r="Q42" i="6" a="1"/>
  <c r="Q42" i="6" s="1"/>
  <c r="H34" i="6" a="1"/>
  <c r="H34" i="6" s="1"/>
  <c r="C13" i="2"/>
  <c r="Q27" i="6" a="1"/>
  <c r="Q27" i="6" s="1"/>
  <c r="Q28" i="6" a="1"/>
  <c r="Q28" i="6" s="1"/>
  <c r="Q15" i="6" a="1"/>
  <c r="Q15" i="6" s="1"/>
  <c r="Q16" i="6" a="1"/>
  <c r="Q16" i="6" s="1"/>
  <c r="H37" i="6" a="1"/>
  <c r="H37" i="6" s="1"/>
  <c r="F24" i="2"/>
  <c r="F31" i="2"/>
  <c r="C8" i="2"/>
  <c r="H26" i="6" a="1"/>
  <c r="H26" i="6" s="1"/>
  <c r="C31" i="2"/>
  <c r="C16" i="2"/>
  <c r="T10" i="1"/>
  <c r="U10" i="1" s="1"/>
  <c r="AD10" i="1" s="1"/>
  <c r="Q31" i="6" a="1"/>
  <c r="Q31" i="6" s="1"/>
  <c r="Q23" i="6" a="1"/>
  <c r="Q23" i="6" s="1"/>
  <c r="J25" i="2"/>
  <c r="Q40" i="6" a="1"/>
  <c r="Q40" i="6" s="1"/>
  <c r="H25" i="6" a="1"/>
  <c r="H25" i="6" s="1"/>
  <c r="Q19" i="6" a="1"/>
  <c r="Q19" i="6" s="1"/>
  <c r="Q29" i="6" a="1"/>
  <c r="Q29" i="6" s="1"/>
  <c r="H22" i="6" a="1"/>
  <c r="H22" i="6" s="1"/>
  <c r="F26" i="2"/>
  <c r="C24" i="2"/>
  <c r="Q25" i="6" a="1"/>
  <c r="Q25" i="6" s="1"/>
  <c r="H44" i="6" a="1"/>
  <c r="H44" i="6" s="1"/>
  <c r="Q20" i="6" a="1"/>
  <c r="Q20" i="6" s="1"/>
  <c r="Q22" i="6" a="1"/>
  <c r="Q22" i="6" s="1"/>
  <c r="Q26" i="6" a="1"/>
  <c r="Q26" i="6" s="1"/>
  <c r="P20" i="1"/>
  <c r="C25" i="2"/>
  <c r="C20" i="2"/>
  <c r="P10" i="1"/>
  <c r="T20" i="1"/>
  <c r="U20" i="1" s="1"/>
  <c r="AD20" i="1" s="1"/>
  <c r="C11" i="2"/>
  <c r="C19" i="2"/>
  <c r="J9" i="2"/>
  <c r="H38" i="6" a="1"/>
  <c r="H38" i="6" s="1"/>
  <c r="H27" i="6" a="1"/>
  <c r="H27" i="6" s="1"/>
  <c r="H20" i="6" a="1"/>
  <c r="H20" i="6" s="1"/>
  <c r="H13" i="6" a="1"/>
  <c r="H13" i="6" s="1"/>
  <c r="H11" i="6" a="1"/>
  <c r="H11" i="6" s="1"/>
  <c r="H16" i="6" a="1"/>
  <c r="H16" i="6" s="1"/>
  <c r="H21" i="6" a="1"/>
  <c r="H21" i="6" s="1"/>
  <c r="H15" i="6" a="1"/>
  <c r="H15" i="6" s="1"/>
  <c r="H12" i="6" a="1"/>
  <c r="H12" i="6" s="1"/>
  <c r="H19" i="6" a="1"/>
  <c r="H19" i="6" s="1"/>
  <c r="H17" i="6" a="1"/>
  <c r="H17" i="6" s="1"/>
  <c r="H14" i="6" a="1"/>
  <c r="H14" i="6" s="1"/>
  <c r="H10" i="6" a="1"/>
  <c r="H10" i="6" s="1"/>
  <c r="H18" i="6" a="1"/>
  <c r="H18" i="6" s="1"/>
  <c r="Q37" i="6" a="1"/>
  <c r="Q37" i="6" s="1"/>
  <c r="J21" i="2"/>
  <c r="H42" i="6" a="1"/>
  <c r="H42" i="6" s="1"/>
  <c r="Q14" i="6" a="1"/>
  <c r="Q14" i="6" s="1"/>
  <c r="F17" i="2"/>
  <c r="Q41" i="6" a="1"/>
  <c r="Q41" i="6" s="1"/>
  <c r="Q43" i="6" a="1"/>
  <c r="Q43" i="6" s="1"/>
  <c r="J29" i="2"/>
  <c r="J19" i="2"/>
  <c r="Q16" i="1"/>
  <c r="Q33" i="6" a="1"/>
  <c r="Q33" i="6" s="1"/>
  <c r="Q38" i="6" a="1"/>
  <c r="Q38" i="6" s="1"/>
  <c r="H32" i="6" a="1"/>
  <c r="H32" i="6" s="1"/>
  <c r="Q11" i="6" a="1"/>
  <c r="Q11" i="6" s="1"/>
  <c r="Q17" i="6" a="1"/>
  <c r="Q17" i="6" s="1"/>
  <c r="H39" i="6" a="1"/>
  <c r="H39" i="6" s="1"/>
  <c r="H35" i="6" a="1"/>
  <c r="H35" i="6" s="1"/>
  <c r="H23" i="6" a="1"/>
  <c r="H23" i="6" s="1"/>
  <c r="H28" i="6" a="1"/>
  <c r="H28" i="6" s="1"/>
  <c r="C26" i="2"/>
  <c r="C30" i="2"/>
  <c r="C23" i="2"/>
  <c r="C21" i="2"/>
  <c r="C18" i="2"/>
  <c r="C12" i="2"/>
  <c r="H30" i="6" a="1"/>
  <c r="H30" i="6" s="1"/>
  <c r="Q19" i="1"/>
  <c r="O19" i="1" s="1"/>
  <c r="P18" i="1"/>
  <c r="H31" i="6" a="1"/>
  <c r="H31" i="6" s="1"/>
  <c r="H29" i="6" a="1"/>
  <c r="H29" i="6" s="1"/>
  <c r="Q10" i="6" a="1"/>
  <c r="Q10" i="6" s="1"/>
  <c r="Q21" i="6" a="1"/>
  <c r="Q21" i="6" s="1"/>
  <c r="Q39" i="6" a="1"/>
  <c r="Q39" i="6" s="1"/>
  <c r="F16" i="2"/>
  <c r="Q10" i="2" l="1"/>
  <c r="W10" i="2" s="1"/>
  <c r="O28" i="2"/>
  <c r="U28" i="2" s="1"/>
  <c r="V26" i="1"/>
  <c r="W26" i="1" s="1"/>
  <c r="X26" i="1" s="1"/>
  <c r="AC26" i="1" s="1"/>
  <c r="V12" i="1"/>
  <c r="W12" i="1" s="1"/>
  <c r="X12" i="1" s="1"/>
  <c r="AC12" i="1" s="1"/>
  <c r="AE12" i="1" s="1"/>
  <c r="Z12" i="1" s="1"/>
  <c r="AA12" i="1" s="1"/>
  <c r="I25" i="6"/>
  <c r="O13" i="1"/>
  <c r="I41" i="6"/>
  <c r="O29" i="1"/>
  <c r="I33" i="6"/>
  <c r="O21" i="1"/>
  <c r="I27" i="6"/>
  <c r="O15" i="1"/>
  <c r="I40" i="6"/>
  <c r="O28" i="1"/>
  <c r="I29" i="6"/>
  <c r="O17" i="1"/>
  <c r="Q31" i="1"/>
  <c r="O31" i="1" s="1"/>
  <c r="V20" i="1"/>
  <c r="W20" i="1" s="1"/>
  <c r="X20" i="1" s="1"/>
  <c r="AC20" i="1" s="1"/>
  <c r="AE20" i="1" s="1"/>
  <c r="Z20" i="1" s="1"/>
  <c r="AA20" i="1" s="1"/>
  <c r="V30" i="1"/>
  <c r="W30" i="1" s="1"/>
  <c r="X30" i="1" s="1"/>
  <c r="AC30" i="1" s="1"/>
  <c r="AE30" i="1" s="1"/>
  <c r="Z30" i="1" s="1"/>
  <c r="AA30" i="1" s="1"/>
  <c r="I35" i="6"/>
  <c r="O23" i="1"/>
  <c r="I37" i="6"/>
  <c r="O25" i="1"/>
  <c r="J23" i="2"/>
  <c r="O24" i="1"/>
  <c r="AD22" i="1"/>
  <c r="AE22" i="1" s="1"/>
  <c r="Z22" i="1" s="1"/>
  <c r="AA22" i="1" s="1"/>
  <c r="T17" i="1"/>
  <c r="U17" i="1" s="1"/>
  <c r="V17" i="1" s="1"/>
  <c r="W17" i="1" s="1"/>
  <c r="X17" i="1" s="1"/>
  <c r="AC17" i="1" s="1"/>
  <c r="I28" i="6"/>
  <c r="O16" i="1"/>
  <c r="I30" i="6"/>
  <c r="O18" i="1"/>
  <c r="P17" i="1"/>
  <c r="I39" i="6"/>
  <c r="J26" i="2"/>
  <c r="T27" i="1"/>
  <c r="U27" i="1" s="1"/>
  <c r="P27" i="1"/>
  <c r="T28" i="1"/>
  <c r="U28" i="1" s="1"/>
  <c r="V28" i="1" s="1"/>
  <c r="W28" i="1" s="1"/>
  <c r="X28" i="1" s="1"/>
  <c r="AC28" i="1" s="1"/>
  <c r="S12" i="2"/>
  <c r="Y12" i="2" s="1"/>
  <c r="T12" i="2"/>
  <c r="Z12" i="2" s="1"/>
  <c r="T18" i="2"/>
  <c r="Z18" i="2" s="1"/>
  <c r="S18" i="2"/>
  <c r="Y18" i="2" s="1"/>
  <c r="S20" i="2"/>
  <c r="Y20" i="2" s="1"/>
  <c r="T20" i="2"/>
  <c r="Z20" i="2" s="1"/>
  <c r="S24" i="2"/>
  <c r="Y24" i="2" s="1"/>
  <c r="T24" i="2"/>
  <c r="Z24" i="2" s="1"/>
  <c r="S8" i="2"/>
  <c r="Y8" i="2" s="1"/>
  <c r="R8" i="2"/>
  <c r="T8" i="2"/>
  <c r="Z8" i="2" s="1"/>
  <c r="T13" i="2"/>
  <c r="Z13" i="2" s="1"/>
  <c r="S13" i="2"/>
  <c r="Y13" i="2" s="1"/>
  <c r="Q15" i="2"/>
  <c r="W15" i="2" s="1"/>
  <c r="T15" i="2"/>
  <c r="Z15" i="2" s="1"/>
  <c r="S15" i="2"/>
  <c r="Y15" i="2" s="1"/>
  <c r="T21" i="2"/>
  <c r="Z21" i="2" s="1"/>
  <c r="S21" i="2"/>
  <c r="Y21" i="2" s="1"/>
  <c r="S25" i="2"/>
  <c r="Y25" i="2" s="1"/>
  <c r="T25" i="2"/>
  <c r="Z25" i="2" s="1"/>
  <c r="T29" i="2"/>
  <c r="Z29" i="2" s="1"/>
  <c r="S29" i="2"/>
  <c r="Y29" i="2" s="1"/>
  <c r="T10" i="2"/>
  <c r="Z10" i="2" s="1"/>
  <c r="S10" i="2"/>
  <c r="Y10" i="2" s="1"/>
  <c r="V10" i="1"/>
  <c r="W10" i="1" s="1"/>
  <c r="X10" i="1" s="1"/>
  <c r="AC10" i="1" s="1"/>
  <c r="AE10" i="1" s="1"/>
  <c r="Z10" i="1" s="1"/>
  <c r="AA10" i="1" s="1"/>
  <c r="T23" i="2"/>
  <c r="Z23" i="2" s="1"/>
  <c r="S23" i="2"/>
  <c r="Y23" i="2" s="1"/>
  <c r="T22" i="2"/>
  <c r="Z22" i="2" s="1"/>
  <c r="S22" i="2"/>
  <c r="Y22" i="2" s="1"/>
  <c r="Q9" i="2"/>
  <c r="W9" i="2" s="1"/>
  <c r="S9" i="2"/>
  <c r="Y9" i="2" s="1"/>
  <c r="T9" i="2"/>
  <c r="Z9" i="2" s="1"/>
  <c r="Q17" i="2"/>
  <c r="W17" i="2" s="1"/>
  <c r="S17" i="2"/>
  <c r="Y17" i="2" s="1"/>
  <c r="T17" i="2"/>
  <c r="Z17" i="2" s="1"/>
  <c r="T11" i="2"/>
  <c r="Z11" i="2" s="1"/>
  <c r="S11" i="2"/>
  <c r="Y11" i="2" s="1"/>
  <c r="O31" i="2"/>
  <c r="U31" i="2" s="1"/>
  <c r="T31" i="2"/>
  <c r="Z31" i="2" s="1"/>
  <c r="S31" i="2"/>
  <c r="Y31" i="2" s="1"/>
  <c r="T14" i="2"/>
  <c r="Z14" i="2" s="1"/>
  <c r="S14" i="2"/>
  <c r="Y14" i="2" s="1"/>
  <c r="O27" i="2"/>
  <c r="U27" i="2" s="1"/>
  <c r="T27" i="2"/>
  <c r="Z27" i="2" s="1"/>
  <c r="S27" i="2"/>
  <c r="Y27" i="2" s="1"/>
  <c r="F27" i="2"/>
  <c r="S28" i="2"/>
  <c r="Y28" i="2" s="1"/>
  <c r="T28" i="2"/>
  <c r="Z28" i="2" s="1"/>
  <c r="T19" i="2"/>
  <c r="Z19" i="2" s="1"/>
  <c r="S19" i="2"/>
  <c r="Y19" i="2" s="1"/>
  <c r="S16" i="2"/>
  <c r="Y16" i="2" s="1"/>
  <c r="T16" i="2"/>
  <c r="Z16" i="2" s="1"/>
  <c r="T30" i="2"/>
  <c r="Z30" i="2" s="1"/>
  <c r="S30" i="2"/>
  <c r="Y30" i="2" s="1"/>
  <c r="T26" i="2"/>
  <c r="Z26" i="2" s="1"/>
  <c r="S26" i="2"/>
  <c r="Y26" i="2" s="1"/>
  <c r="F13" i="2"/>
  <c r="O17" i="2"/>
  <c r="U17" i="2" s="1"/>
  <c r="R18" i="2"/>
  <c r="X18" i="2" s="1"/>
  <c r="F10" i="2"/>
  <c r="R10" i="2" s="1"/>
  <c r="X10" i="2" s="1"/>
  <c r="Q27" i="2"/>
  <c r="W27" i="2" s="1"/>
  <c r="R11" i="2"/>
  <c r="X11" i="2" s="1"/>
  <c r="F25" i="2"/>
  <c r="R25" i="2" s="1"/>
  <c r="X25" i="2" s="1"/>
  <c r="O15" i="2"/>
  <c r="U15" i="2" s="1"/>
  <c r="J8" i="2"/>
  <c r="R20" i="2"/>
  <c r="X20" i="2" s="1"/>
  <c r="I21" i="6"/>
  <c r="R27" i="2"/>
  <c r="X27" i="2" s="1"/>
  <c r="R9" i="2"/>
  <c r="X9" i="2" s="1"/>
  <c r="F28" i="2"/>
  <c r="R28" i="2" s="1"/>
  <c r="X28" i="2" s="1"/>
  <c r="F8" i="2"/>
  <c r="F22" i="2"/>
  <c r="R22" i="2" s="1"/>
  <c r="X22" i="2" s="1"/>
  <c r="F12" i="2"/>
  <c r="R12" i="2" s="1"/>
  <c r="X12" i="2" s="1"/>
  <c r="F21" i="2"/>
  <c r="R21" i="2" s="1"/>
  <c r="X21" i="2" s="1"/>
  <c r="F29" i="2"/>
  <c r="R29" i="2" s="1"/>
  <c r="X29" i="2" s="1"/>
  <c r="T13" i="1"/>
  <c r="U13" i="1" s="1"/>
  <c r="V13" i="1" s="1"/>
  <c r="W13" i="1" s="1"/>
  <c r="X13" i="1" s="1"/>
  <c r="AC13" i="1" s="1"/>
  <c r="P13" i="1"/>
  <c r="R30" i="2"/>
  <c r="X30" i="2" s="1"/>
  <c r="R19" i="2"/>
  <c r="X19" i="2" s="1"/>
  <c r="F14" i="2"/>
  <c r="R14" i="2" s="1"/>
  <c r="X14" i="2" s="1"/>
  <c r="F23" i="2"/>
  <c r="R23" i="2" s="1"/>
  <c r="X23" i="2" s="1"/>
  <c r="P16" i="1"/>
  <c r="R26" i="2"/>
  <c r="X26" i="2" s="1"/>
  <c r="T16" i="1"/>
  <c r="U16" i="1" s="1"/>
  <c r="AD16" i="1" s="1"/>
  <c r="AD18" i="1"/>
  <c r="AE18" i="1" s="1"/>
  <c r="Z18" i="1" s="1"/>
  <c r="AA18" i="1" s="1"/>
  <c r="O9" i="2"/>
  <c r="U9" i="2" s="1"/>
  <c r="R17" i="2"/>
  <c r="X17" i="2" s="1"/>
  <c r="R15" i="2"/>
  <c r="X15" i="2" s="1"/>
  <c r="T15" i="1"/>
  <c r="U15" i="1" s="1"/>
  <c r="V15" i="1" s="1"/>
  <c r="W15" i="1" s="1"/>
  <c r="X15" i="1" s="1"/>
  <c r="AC15" i="1" s="1"/>
  <c r="R16" i="2"/>
  <c r="X16" i="2" s="1"/>
  <c r="P15" i="1"/>
  <c r="O29" i="2"/>
  <c r="U29" i="2" s="1"/>
  <c r="J15" i="2"/>
  <c r="J12" i="2"/>
  <c r="O23" i="2"/>
  <c r="U23" i="2" s="1"/>
  <c r="Q23" i="2"/>
  <c r="W23" i="2" s="1"/>
  <c r="O16" i="2"/>
  <c r="U16" i="2" s="1"/>
  <c r="Q31" i="2"/>
  <c r="W31" i="2" s="1"/>
  <c r="Q14" i="2"/>
  <c r="W14" i="2" s="1"/>
  <c r="O14" i="2"/>
  <c r="U14" i="2" s="1"/>
  <c r="Q11" i="2"/>
  <c r="W11" i="2" s="1"/>
  <c r="O11" i="2"/>
  <c r="U11" i="2" s="1"/>
  <c r="Q12" i="2"/>
  <c r="W12" i="2" s="1"/>
  <c r="O25" i="2"/>
  <c r="U25" i="2" s="1"/>
  <c r="O18" i="2"/>
  <c r="U18" i="2" s="1"/>
  <c r="Q30" i="2"/>
  <c r="W30" i="2" s="1"/>
  <c r="O30" i="2"/>
  <c r="U30" i="2" s="1"/>
  <c r="Q8" i="2"/>
  <c r="W8" i="2" s="1"/>
  <c r="O21" i="2"/>
  <c r="U21" i="2" s="1"/>
  <c r="O8" i="2"/>
  <c r="U8" i="2" s="1"/>
  <c r="Q18" i="2"/>
  <c r="W18" i="2" s="1"/>
  <c r="O26" i="2"/>
  <c r="U26" i="2" s="1"/>
  <c r="Q25" i="2"/>
  <c r="W25" i="2" s="1"/>
  <c r="Q26" i="2"/>
  <c r="W26" i="2" s="1"/>
  <c r="P29" i="1"/>
  <c r="T29" i="1"/>
  <c r="U29" i="1" s="1"/>
  <c r="V29" i="1" s="1"/>
  <c r="W29" i="1" s="1"/>
  <c r="X29" i="1" s="1"/>
  <c r="AC29" i="1" s="1"/>
  <c r="T21" i="1"/>
  <c r="U21" i="1" s="1"/>
  <c r="AD21" i="1" s="1"/>
  <c r="C32" i="2"/>
  <c r="Q21" i="2"/>
  <c r="W21" i="2" s="1"/>
  <c r="Q16" i="2"/>
  <c r="W16" i="2" s="1"/>
  <c r="O12" i="2"/>
  <c r="U12" i="2" s="1"/>
  <c r="J28" i="2"/>
  <c r="R31" i="2"/>
  <c r="X31" i="2" s="1"/>
  <c r="I31" i="6"/>
  <c r="P19" i="1"/>
  <c r="T19" i="1"/>
  <c r="U19" i="1" s="1"/>
  <c r="Q22" i="2"/>
  <c r="W22" i="2" s="1"/>
  <c r="J18" i="2"/>
  <c r="J24" i="2"/>
  <c r="J22" i="2"/>
  <c r="I23" i="6"/>
  <c r="P11" i="1"/>
  <c r="T11" i="1"/>
  <c r="U11" i="1" s="1"/>
  <c r="J20" i="2"/>
  <c r="Q20" i="2"/>
  <c r="W20" i="2" s="1"/>
  <c r="O22" i="2"/>
  <c r="U22" i="2" s="1"/>
  <c r="P25" i="1"/>
  <c r="O20" i="2"/>
  <c r="U20" i="2" s="1"/>
  <c r="Q19" i="2"/>
  <c r="W19" i="2" s="1"/>
  <c r="R24" i="2"/>
  <c r="X24" i="2" s="1"/>
  <c r="Q24" i="2"/>
  <c r="W24" i="2" s="1"/>
  <c r="O24" i="2"/>
  <c r="U24" i="2" s="1"/>
  <c r="J14" i="2"/>
  <c r="J16" i="2"/>
  <c r="Q14" i="1"/>
  <c r="O14" i="1" s="1"/>
  <c r="T25" i="1"/>
  <c r="U25" i="1" s="1"/>
  <c r="AD25" i="1" s="1"/>
  <c r="O19" i="2"/>
  <c r="U19" i="2" s="1"/>
  <c r="T23" i="1"/>
  <c r="U23" i="1" s="1"/>
  <c r="V23" i="1" s="1"/>
  <c r="W23" i="1" s="1"/>
  <c r="X23" i="1" s="1"/>
  <c r="AC23" i="1" s="1"/>
  <c r="P23" i="1"/>
  <c r="I36" i="6"/>
  <c r="T24" i="1"/>
  <c r="U24" i="1" s="1"/>
  <c r="P24" i="1"/>
  <c r="J10" i="2"/>
  <c r="R13" i="2"/>
  <c r="X13" i="2" s="1"/>
  <c r="O13" i="2"/>
  <c r="U13" i="2" s="1"/>
  <c r="Q13" i="2"/>
  <c r="W13" i="2" s="1"/>
  <c r="J27" i="2"/>
  <c r="AE26" i="1"/>
  <c r="Z26" i="1" s="1"/>
  <c r="AA26" i="1" s="1"/>
  <c r="AD28" i="1" l="1"/>
  <c r="J30" i="2"/>
  <c r="AD13" i="1"/>
  <c r="AE13" i="1" s="1"/>
  <c r="Z13" i="1" s="1"/>
  <c r="AA13" i="1" s="1"/>
  <c r="V16" i="1"/>
  <c r="W16" i="1" s="1"/>
  <c r="X16" i="1" s="1"/>
  <c r="AC16" i="1" s="1"/>
  <c r="AE16" i="1" s="1"/>
  <c r="Z16" i="1" s="1"/>
  <c r="AA16" i="1" s="1"/>
  <c r="AD15" i="1"/>
  <c r="I43" i="6"/>
  <c r="T31" i="1"/>
  <c r="U31" i="1" s="1"/>
  <c r="AD17" i="1"/>
  <c r="AE17" i="1" s="1"/>
  <c r="Z17" i="1" s="1"/>
  <c r="AA17" i="1" s="1"/>
  <c r="P31" i="1"/>
  <c r="X8" i="2"/>
  <c r="V27" i="1"/>
  <c r="W27" i="1" s="1"/>
  <c r="X27" i="1" s="1"/>
  <c r="AC27" i="1" s="1"/>
  <c r="AD27" i="1"/>
  <c r="AD23" i="1"/>
  <c r="AE23" i="1" s="1"/>
  <c r="Z23" i="1" s="1"/>
  <c r="AA23" i="1" s="1"/>
  <c r="F32" i="2"/>
  <c r="AD29" i="1"/>
  <c r="AE29" i="1" s="1"/>
  <c r="Z29" i="1" s="1"/>
  <c r="AA29" i="1" s="1"/>
  <c r="V25" i="1"/>
  <c r="W25" i="1" s="1"/>
  <c r="X25" i="1" s="1"/>
  <c r="AC25" i="1" s="1"/>
  <c r="AE25" i="1" s="1"/>
  <c r="Z25" i="1" s="1"/>
  <c r="AA25" i="1" s="1"/>
  <c r="V21" i="1"/>
  <c r="W21" i="1" s="1"/>
  <c r="X21" i="1" s="1"/>
  <c r="AC21" i="1" s="1"/>
  <c r="AE21" i="1" s="1"/>
  <c r="Z21" i="1" s="1"/>
  <c r="AA21" i="1" s="1"/>
  <c r="V19" i="1"/>
  <c r="W19" i="1" s="1"/>
  <c r="X19" i="1" s="1"/>
  <c r="AC19" i="1" s="1"/>
  <c r="AD19" i="1"/>
  <c r="AD11" i="1"/>
  <c r="V11" i="1"/>
  <c r="W11" i="1" s="1"/>
  <c r="X11" i="1" s="1"/>
  <c r="AC11" i="1" s="1"/>
  <c r="I26" i="6"/>
  <c r="P14" i="1"/>
  <c r="T14" i="1"/>
  <c r="U14" i="1" s="1"/>
  <c r="Q32" i="1" a="1"/>
  <c r="Q32" i="1" s="1"/>
  <c r="I44" i="6" s="1"/>
  <c r="J13" i="2"/>
  <c r="D13" i="2" s="1"/>
  <c r="P13" i="2" s="1"/>
  <c r="V13" i="2" s="1"/>
  <c r="V24" i="1"/>
  <c r="W24" i="1" s="1"/>
  <c r="X24" i="1" s="1"/>
  <c r="AC24" i="1" s="1"/>
  <c r="AD24" i="1"/>
  <c r="AE15" i="1"/>
  <c r="Z15" i="1" s="1"/>
  <c r="AA15" i="1" s="1"/>
  <c r="AE28" i="1"/>
  <c r="Z28" i="1" s="1"/>
  <c r="AA28" i="1" s="1"/>
  <c r="D24" i="2" l="1"/>
  <c r="P24" i="2" s="1"/>
  <c r="V24" i="2" s="1"/>
  <c r="V31" i="1"/>
  <c r="W31" i="1" s="1"/>
  <c r="X31" i="1" s="1"/>
  <c r="AC31" i="1" s="1"/>
  <c r="AD31" i="1"/>
  <c r="AE19" i="1"/>
  <c r="Z19" i="1" s="1"/>
  <c r="AA19" i="1" s="1"/>
  <c r="D18" i="2"/>
  <c r="P18" i="2" s="1"/>
  <c r="V18" i="2" s="1"/>
  <c r="D31" i="2"/>
  <c r="P31" i="2" s="1"/>
  <c r="V31" i="2" s="1"/>
  <c r="AE27" i="1"/>
  <c r="Z27" i="1" s="1"/>
  <c r="AA27" i="1" s="1"/>
  <c r="D25" i="2"/>
  <c r="P25" i="2" s="1"/>
  <c r="V25" i="2" s="1"/>
  <c r="D12" i="2"/>
  <c r="P12" i="2" s="1"/>
  <c r="V12" i="2" s="1"/>
  <c r="D28" i="2"/>
  <c r="P28" i="2" s="1"/>
  <c r="V28" i="2" s="1"/>
  <c r="D21" i="2"/>
  <c r="P21" i="2" s="1"/>
  <c r="V21" i="2" s="1"/>
  <c r="D19" i="2"/>
  <c r="P19" i="2" s="1"/>
  <c r="V19" i="2" s="1"/>
  <c r="D20" i="2"/>
  <c r="P20" i="2" s="1"/>
  <c r="V20" i="2" s="1"/>
  <c r="D16" i="2"/>
  <c r="P16" i="2" s="1"/>
  <c r="V16" i="2" s="1"/>
  <c r="D22" i="2"/>
  <c r="P22" i="2" s="1"/>
  <c r="V22" i="2" s="1"/>
  <c r="D30" i="2"/>
  <c r="P30" i="2" s="1"/>
  <c r="V30" i="2" s="1"/>
  <c r="D29" i="2"/>
  <c r="P29" i="2" s="1"/>
  <c r="V29" i="2" s="1"/>
  <c r="D14" i="2"/>
  <c r="P14" i="2" s="1"/>
  <c r="V14" i="2" s="1"/>
  <c r="D15" i="2"/>
  <c r="P15" i="2" s="1"/>
  <c r="V15" i="2" s="1"/>
  <c r="D23" i="2"/>
  <c r="P23" i="2" s="1"/>
  <c r="V23" i="2" s="1"/>
  <c r="D26" i="2"/>
  <c r="P26" i="2" s="1"/>
  <c r="V26" i="2" s="1"/>
  <c r="AE11" i="1"/>
  <c r="Z11" i="1" s="1"/>
  <c r="AA11" i="1" s="1"/>
  <c r="K21" i="6" a="1"/>
  <c r="K21" i="6" s="1"/>
  <c r="K12" i="6" a="1"/>
  <c r="K12" i="6" s="1"/>
  <c r="K43" i="6" a="1"/>
  <c r="K43" i="6" s="1"/>
  <c r="K30" i="6" a="1"/>
  <c r="K30" i="6" s="1"/>
  <c r="K32" i="6" a="1"/>
  <c r="K32" i="6" s="1"/>
  <c r="K37" i="6" a="1"/>
  <c r="K37" i="6" s="1"/>
  <c r="K16" i="6" a="1"/>
  <c r="K16" i="6" s="1"/>
  <c r="K13" i="6" a="1"/>
  <c r="K13" i="6" s="1"/>
  <c r="K28" i="6" a="1"/>
  <c r="K28" i="6" s="1"/>
  <c r="K24" i="6" a="1"/>
  <c r="K24" i="6" s="1"/>
  <c r="K17" i="6" a="1"/>
  <c r="K17" i="6" s="1"/>
  <c r="K26" i="6" a="1"/>
  <c r="K26" i="6" s="1"/>
  <c r="K35" i="6" a="1"/>
  <c r="K35" i="6" s="1"/>
  <c r="K38" i="6" a="1"/>
  <c r="K38" i="6" s="1"/>
  <c r="K29" i="6" a="1"/>
  <c r="K29" i="6" s="1"/>
  <c r="K31" i="6" a="1"/>
  <c r="K31" i="6" s="1"/>
  <c r="K20" i="6" a="1"/>
  <c r="K20" i="6" s="1"/>
  <c r="K25" i="6" a="1"/>
  <c r="K25" i="6" s="1"/>
  <c r="K19" i="6" a="1"/>
  <c r="K19" i="6" s="1"/>
  <c r="K22" i="6" a="1"/>
  <c r="K22" i="6" s="1"/>
  <c r="K33" i="6" a="1"/>
  <c r="K33" i="6" s="1"/>
  <c r="K42" i="6" a="1"/>
  <c r="K42" i="6" s="1"/>
  <c r="K23" i="6" a="1"/>
  <c r="K23" i="6" s="1"/>
  <c r="K10" i="6" a="1"/>
  <c r="K10" i="6" s="1"/>
  <c r="K18" i="6" a="1"/>
  <c r="K18" i="6" s="1"/>
  <c r="K39" i="6" a="1"/>
  <c r="K39" i="6" s="1"/>
  <c r="K14" i="6" a="1"/>
  <c r="K14" i="6" s="1"/>
  <c r="K15" i="6" a="1"/>
  <c r="K15" i="6" s="1"/>
  <c r="K11" i="6" a="1"/>
  <c r="K11" i="6" s="1"/>
  <c r="K41" i="6" a="1"/>
  <c r="K41" i="6" s="1"/>
  <c r="K40" i="6" a="1"/>
  <c r="K40" i="6" s="1"/>
  <c r="K34" i="6" a="1"/>
  <c r="K34" i="6" s="1"/>
  <c r="D8" i="2"/>
  <c r="D17" i="2"/>
  <c r="P17" i="2" s="1"/>
  <c r="V17" i="2" s="1"/>
  <c r="D27" i="2"/>
  <c r="P27" i="2" s="1"/>
  <c r="V27" i="2" s="1"/>
  <c r="K44" i="6" a="1"/>
  <c r="K44" i="6" s="1"/>
  <c r="D9" i="2"/>
  <c r="P9" i="2" s="1"/>
  <c r="V9" i="2" s="1"/>
  <c r="D11" i="2"/>
  <c r="P11" i="2" s="1"/>
  <c r="V11" i="2" s="1"/>
  <c r="AD14" i="1"/>
  <c r="V14" i="1"/>
  <c r="W14" i="1" s="1"/>
  <c r="X14" i="1" s="1"/>
  <c r="AC14" i="1" s="1"/>
  <c r="K36" i="6" a="1"/>
  <c r="K36" i="6" s="1"/>
  <c r="AE24" i="1"/>
  <c r="Z24" i="1" s="1"/>
  <c r="AA24" i="1" s="1"/>
  <c r="D10" i="2"/>
  <c r="P10" i="2" s="1"/>
  <c r="V10" i="2" s="1"/>
  <c r="K27" i="6" a="1"/>
  <c r="K27" i="6" s="1"/>
  <c r="AE31" i="1" l="1"/>
  <c r="Z31" i="1" s="1"/>
  <c r="AA31" i="1" s="1"/>
  <c r="AE14" i="1"/>
  <c r="Z14" i="1" s="1"/>
  <c r="AA14" i="1" s="1"/>
  <c r="P8" i="2"/>
  <c r="V8" i="2" s="1"/>
  <c r="D32" i="2"/>
  <c r="AC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<sst xmlns="http://schemas.openxmlformats.org/spreadsheetml/2006/main" count="435" uniqueCount="137">
  <si>
    <t>Lumped Composition</t>
  </si>
  <si>
    <t>Normalized C7+</t>
  </si>
  <si>
    <t>Extended Composition</t>
  </si>
  <si>
    <t>Component</t>
  </si>
  <si>
    <t>Mass</t>
  </si>
  <si>
    <t>Name</t>
  </si>
  <si>
    <t>Amount</t>
  </si>
  <si>
    <t>(mass%)</t>
  </si>
  <si>
    <t>N2</t>
  </si>
  <si>
    <t>C7</t>
  </si>
  <si>
    <t>CO2</t>
  </si>
  <si>
    <t>C8</t>
  </si>
  <si>
    <t>H2S</t>
  </si>
  <si>
    <t>C9</t>
  </si>
  <si>
    <t>C1</t>
  </si>
  <si>
    <t>C10</t>
  </si>
  <si>
    <t>C2</t>
  </si>
  <si>
    <t>C11</t>
  </si>
  <si>
    <t>C3</t>
  </si>
  <si>
    <t>C12</t>
  </si>
  <si>
    <t>i-C4</t>
  </si>
  <si>
    <t>C13</t>
  </si>
  <si>
    <t>n-C4</t>
  </si>
  <si>
    <t>C14</t>
  </si>
  <si>
    <t>i-C5</t>
  </si>
  <si>
    <t>C15</t>
  </si>
  <si>
    <t>n-C5</t>
  </si>
  <si>
    <t>C16</t>
  </si>
  <si>
    <t>C6</t>
  </si>
  <si>
    <t>C17</t>
  </si>
  <si>
    <t>C7+</t>
  </si>
  <si>
    <t>C18</t>
  </si>
  <si>
    <t>Total: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</si>
  <si>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</si>
  <si>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</si>
  <si>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</si>
  <si>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</si>
  <si>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</si>
  <si>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</si>
  <si>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</si>
  <si>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</si>
  <si>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</si>
  <si>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</si>
  <si>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</si>
  <si>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C30+</t>
  </si>
  <si>
    <r>
      <t>C</t>
    </r>
    <r>
      <rPr>
        <b/>
        <vertAlign val="subscript"/>
        <sz val="11"/>
        <color theme="1"/>
        <rFont val="Arial"/>
        <family val="2"/>
      </rPr>
      <t>7+</t>
    </r>
    <r>
      <rPr>
        <b/>
        <sz val="11"/>
        <color theme="1"/>
        <rFont val="Arial"/>
        <family val="2"/>
      </rPr>
      <t xml:space="preserve"> Molecular Weight</t>
    </r>
  </si>
  <si>
    <r>
      <t>M</t>
    </r>
    <r>
      <rPr>
        <b/>
        <vertAlign val="subscript"/>
        <sz val="11"/>
        <color theme="1"/>
        <rFont val="Arial"/>
        <family val="2"/>
      </rPr>
      <t>C7+</t>
    </r>
    <r>
      <rPr>
        <b/>
        <sz val="11"/>
        <color theme="1"/>
        <rFont val="Arial"/>
        <family val="2"/>
      </rPr>
      <t>:</t>
    </r>
  </si>
  <si>
    <t>Normal Praffin Data</t>
  </si>
  <si>
    <t>Effective Paraffin Data</t>
  </si>
  <si>
    <t>Twu correlation Data</t>
  </si>
  <si>
    <t>General Paraffin</t>
  </si>
  <si>
    <t>Katz-Firoozabadi</t>
  </si>
  <si>
    <t>Whitson</t>
  </si>
  <si>
    <t>Gamma Model</t>
  </si>
  <si>
    <t>Specific Gravity Model</t>
  </si>
  <si>
    <t>SCN</t>
  </si>
  <si>
    <t>Paraffin</t>
  </si>
  <si>
    <t>Critical</t>
  </si>
  <si>
    <t>Effective</t>
  </si>
  <si>
    <t>Slope:</t>
  </si>
  <si>
    <t>Carbon</t>
  </si>
  <si>
    <t>Normal</t>
  </si>
  <si>
    <t>Temperature</t>
  </si>
  <si>
    <t>Correlation</t>
  </si>
  <si>
    <t>Deviation</t>
  </si>
  <si>
    <t>Estimated</t>
  </si>
  <si>
    <t>Left-Hand</t>
  </si>
  <si>
    <t>Right-Hand</t>
  </si>
  <si>
    <t>RMS:</t>
  </si>
  <si>
    <t>Intercept:</t>
  </si>
  <si>
    <t>Number</t>
  </si>
  <si>
    <t>Paraffin MW</t>
  </si>
  <si>
    <t>Boiling Point</t>
  </si>
  <si>
    <t>for Paraffin</t>
  </si>
  <si>
    <t>Specific Gravity</t>
  </si>
  <si>
    <t>Factor</t>
  </si>
  <si>
    <t>Shift</t>
  </si>
  <si>
    <t>SCN MW</t>
  </si>
  <si>
    <t>Side</t>
  </si>
  <si>
    <t>I</t>
  </si>
  <si>
    <r>
      <t>M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(I)</t>
    </r>
  </si>
  <si>
    <t>θ</t>
  </si>
  <si>
    <r>
      <t>T</t>
    </r>
    <r>
      <rPr>
        <b/>
        <vertAlign val="subscript"/>
        <sz val="11"/>
        <color theme="1"/>
        <rFont val="Arial"/>
        <family val="2"/>
      </rPr>
      <t>b</t>
    </r>
  </si>
  <si>
    <r>
      <t>T</t>
    </r>
    <r>
      <rPr>
        <b/>
        <vertAlign val="subscript"/>
        <sz val="11"/>
        <color theme="1"/>
        <rFont val="Arial"/>
        <family val="2"/>
      </rPr>
      <t>cP</t>
    </r>
  </si>
  <si>
    <t>α</t>
  </si>
  <si>
    <r>
      <rPr>
        <b/>
        <sz val="11"/>
        <color theme="1"/>
        <rFont val="Calibri"/>
        <family val="2"/>
      </rPr>
      <t>γ</t>
    </r>
    <r>
      <rPr>
        <b/>
        <vertAlign val="subscript"/>
        <sz val="11"/>
        <color theme="1"/>
        <rFont val="Arial"/>
        <family val="2"/>
      </rPr>
      <t>p</t>
    </r>
  </si>
  <si>
    <r>
      <rPr>
        <b/>
        <sz val="11"/>
        <color theme="1"/>
        <rFont val="Calibri"/>
        <family val="2"/>
      </rPr>
      <t>γ(M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)</t>
    </r>
  </si>
  <si>
    <t>δ</t>
  </si>
  <si>
    <t>h</t>
  </si>
  <si>
    <t>i</t>
  </si>
  <si>
    <t>Mp(i)</t>
  </si>
  <si>
    <t>M</t>
  </si>
  <si>
    <t>ln(M)</t>
  </si>
  <si>
    <t>RHS</t>
  </si>
  <si>
    <t>residual</t>
  </si>
  <si>
    <r>
      <rPr>
        <b/>
        <sz val="11"/>
        <color theme="1"/>
        <rFont val="Calibri"/>
        <family val="2"/>
      </rPr>
      <t>γ(M</t>
    </r>
    <r>
      <rPr>
        <b/>
        <sz val="11"/>
        <color theme="1"/>
        <rFont val="Arial"/>
        <family val="2"/>
      </rPr>
      <t>)</t>
    </r>
  </si>
  <si>
    <r>
      <rPr>
        <b/>
        <sz val="11"/>
        <color theme="1"/>
        <rFont val="Calibri"/>
        <family val="2"/>
      </rPr>
      <t>Δγ</t>
    </r>
    <r>
      <rPr>
        <b/>
        <vertAlign val="subscript"/>
        <sz val="11"/>
        <color theme="1"/>
        <rFont val="Arial"/>
        <family val="2"/>
      </rPr>
      <t>M</t>
    </r>
  </si>
  <si>
    <t>|x|</t>
  </si>
  <si>
    <r>
      <t>f</t>
    </r>
    <r>
      <rPr>
        <b/>
        <vertAlign val="subscript"/>
        <sz val="11"/>
        <color theme="1"/>
        <rFont val="Calibri"/>
        <family val="2"/>
      </rPr>
      <t>M</t>
    </r>
  </si>
  <si>
    <r>
      <t>M</t>
    </r>
    <r>
      <rPr>
        <vertAlign val="subscript"/>
        <sz val="11"/>
        <color theme="1"/>
        <rFont val="Arial"/>
        <family val="2"/>
      </rPr>
      <t>C</t>
    </r>
  </si>
  <si>
    <r>
      <t>M</t>
    </r>
    <r>
      <rPr>
        <vertAlign val="subscript"/>
        <sz val="11"/>
        <color theme="1"/>
        <rFont val="Arial"/>
        <family val="2"/>
      </rPr>
      <t>H</t>
    </r>
  </si>
  <si>
    <r>
      <t>M</t>
    </r>
    <r>
      <rPr>
        <vertAlign val="subscript"/>
        <sz val="11"/>
        <color theme="1"/>
        <rFont val="Arial"/>
        <family val="2"/>
      </rPr>
      <t>H2</t>
    </r>
  </si>
  <si>
    <r>
      <t>M</t>
    </r>
    <r>
      <rPr>
        <vertAlign val="subscript"/>
        <sz val="11"/>
        <color theme="1"/>
        <rFont val="Arial"/>
        <family val="2"/>
      </rPr>
      <t>CH2</t>
    </r>
  </si>
  <si>
    <t>Reference Composition</t>
  </si>
  <si>
    <t>30+</t>
  </si>
  <si>
    <t>Deviation from Normal Paraffin</t>
  </si>
  <si>
    <t>Katz</t>
  </si>
  <si>
    <t>Twu</t>
  </si>
  <si>
    <t>Pedersen</t>
  </si>
  <si>
    <t>Firoozabadi</t>
  </si>
  <si>
    <r>
      <t>M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(i)</t>
    </r>
  </si>
  <si>
    <t>Model</t>
  </si>
  <si>
    <r>
      <t>z</t>
    </r>
    <r>
      <rPr>
        <b/>
        <vertAlign val="subscript"/>
        <sz val="11"/>
        <color theme="1"/>
        <rFont val="Arial"/>
        <family val="2"/>
      </rPr>
      <t>i</t>
    </r>
  </si>
  <si>
    <r>
      <t>n</t>
    </r>
    <r>
      <rPr>
        <b/>
        <vertAlign val="subscript"/>
        <sz val="11"/>
        <color theme="1"/>
        <rFont val="Arial"/>
        <family val="2"/>
      </rPr>
      <t>gi</t>
    </r>
  </si>
  <si>
    <t>+0.5 mole%</t>
  </si>
  <si>
    <t>-0.5 mole%</t>
  </si>
  <si>
    <t>0 mole%</t>
  </si>
  <si>
    <t>(mole%)</t>
  </si>
  <si>
    <t>(mol)</t>
  </si>
  <si>
    <t>From 8909-19</t>
  </si>
  <si>
    <t>Conditions</t>
  </si>
  <si>
    <t>Stock Tank Pres. (psia):</t>
  </si>
  <si>
    <t>Stock Tank Temp. (F):</t>
  </si>
  <si>
    <t>Molecular Weight</t>
  </si>
  <si>
    <t>Saturation</t>
  </si>
  <si>
    <t>Res.Temp. (F):</t>
  </si>
  <si>
    <t>Pressure</t>
  </si>
  <si>
    <t>(psia)</t>
  </si>
  <si>
    <t>Normal Paraffin</t>
  </si>
  <si>
    <t>Effective Paraffin</t>
  </si>
  <si>
    <t>Twu Model</t>
  </si>
  <si>
    <r>
      <t>w</t>
    </r>
    <r>
      <rPr>
        <b/>
        <vertAlign val="subscript"/>
        <sz val="11"/>
        <color theme="1"/>
        <rFont val="Arial"/>
        <family val="2"/>
      </rPr>
      <t>i</t>
    </r>
  </si>
  <si>
    <t>Sat. Pres:</t>
  </si>
  <si>
    <t>Fg:</t>
  </si>
  <si>
    <t>(scf/STB)</t>
  </si>
  <si>
    <t>Liq. Dens.:</t>
  </si>
  <si>
    <t>(g/cm3)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</si>
</sst>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vertAlign val="subscript"/>
      <sz val="11"/>
      <color theme="1"/>
      <name val="Arial"/>
      <family val="2"/>
    </font>
    <font>
      <sz val="11"/>
      <color rgb="FF00B050"/>
      <name val="Arial"/>
      <family val="2"/>
    </font>
    <font>
      <b/>
      <vertAlign val="subscript"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7030A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67" fontId="2" fillId="2" borderId="11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7" fontId="2" fillId="2" borderId="6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7" fontId="2" fillId="2" borderId="12" xfId="0" applyNumberFormat="1" applyFont="1" applyFill="1" applyBorder="1" applyAlignment="1">
      <alignment horizontal="center"/>
    </xf>
    <xf numFmtId="167" fontId="2" fillId="2" borderId="8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11" fontId="12" fillId="3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1" fontId="11" fillId="2" borderId="11" xfId="0" applyNumberFormat="1" applyFont="1" applyFill="1" applyBorder="1" applyAlignment="1">
      <alignment horizontal="center"/>
    </xf>
    <xf numFmtId="11" fontId="2" fillId="2" borderId="11" xfId="0" applyNumberFormat="1" applyFont="1" applyFill="1" applyBorder="1" applyAlignment="1">
      <alignment horizontal="center"/>
    </xf>
    <xf numFmtId="11" fontId="2" fillId="2" borderId="4" xfId="0" applyNumberFormat="1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1" fontId="11" fillId="2" borderId="0" xfId="0" applyNumberFormat="1" applyFont="1" applyFill="1" applyAlignment="1">
      <alignment horizontal="center"/>
    </xf>
    <xf numFmtId="11" fontId="2" fillId="2" borderId="0" xfId="0" applyNumberFormat="1" applyFont="1" applyFill="1" applyAlignment="1">
      <alignment horizontal="center"/>
    </xf>
    <xf numFmtId="11" fontId="2" fillId="2" borderId="6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1" fontId="11" fillId="2" borderId="12" xfId="0" applyNumberFormat="1" applyFont="1" applyFill="1" applyBorder="1" applyAlignment="1">
      <alignment horizontal="center"/>
    </xf>
    <xf numFmtId="11" fontId="2" fillId="2" borderId="12" xfId="0" applyNumberFormat="1" applyFont="1" applyFill="1" applyBorder="1" applyAlignment="1">
      <alignment horizontal="center"/>
    </xf>
    <xf numFmtId="11" fontId="2" fillId="2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0" fillId="2" borderId="0" xfId="0" applyFill="1"/>
    <xf numFmtId="165" fontId="2" fillId="2" borderId="4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eetMetadata" Target="metadata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Normal-Paraffin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'Molar-Compositions'!$B$8:$B$31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'Molar-Compositions'!$C$8:$C$31</c:f>
              <c:numCache>
                <c:formatCode>0.000</c:formatCode>
                <c:ptCount val="24"/>
                <c:pt idx="0">
                  <c:v>16.790788251242301</c:v>
                </c:pt>
                <c:pt idx="1">
                  <c:v>19.742320870373646</c:v>
                </c:pt>
                <c:pt idx="2">
                  <c:v>12.727048048903807</c:v>
                </c:pt>
                <c:pt idx="3">
                  <c:v>9.5627605918053611</c:v>
                </c:pt>
                <c:pt idx="4">
                  <c:v>6.6855838952237452</c:v>
                </c:pt>
                <c:pt idx="5">
                  <c:v>5.2147885171855819</c:v>
                </c:pt>
                <c:pt idx="6">
                  <c:v>4.9314026190542286</c:v>
                </c:pt>
                <c:pt idx="7">
                  <c:v>3.80314640787855</c:v>
                </c:pt>
                <c:pt idx="8">
                  <c:v>2.882932890160121</c:v>
                </c:pt>
                <c:pt idx="9">
                  <c:v>2.1874805752071902</c:v>
                </c:pt>
                <c:pt idx="10">
                  <c:v>1.9208200364440271</c:v>
                </c:pt>
                <c:pt idx="11">
                  <c:v>1.7574658731183375</c:v>
                </c:pt>
                <c:pt idx="12">
                  <c:v>1.5099927183796333</c:v>
                </c:pt>
                <c:pt idx="13">
                  <c:v>1.2057225404001246</c:v>
                </c:pt>
                <c:pt idx="14">
                  <c:v>1.0570835319371454</c:v>
                </c:pt>
                <c:pt idx="15">
                  <c:v>0.90841151354614635</c:v>
                </c:pt>
                <c:pt idx="16">
                  <c:v>0.80477835183598423</c:v>
                </c:pt>
                <c:pt idx="17">
                  <c:v>0.70355831637983857</c:v>
                </c:pt>
                <c:pt idx="18">
                  <c:v>0.64594627550507122</c:v>
                </c:pt>
                <c:pt idx="19">
                  <c:v>0.56424437766920943</c:v>
                </c:pt>
                <c:pt idx="20">
                  <c:v>0.48307296380427633</c:v>
                </c:pt>
                <c:pt idx="21">
                  <c:v>0.43943638666215801</c:v>
                </c:pt>
                <c:pt idx="22">
                  <c:v>0.38856889124080563</c:v>
                </c:pt>
                <c:pt idx="23">
                  <c:v>3.0826455560426873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C-418C-82F9-C2DBB3967C4B}"/>
            </c:ext>
          </c:extLst>
        </c:ser>
        <c:ser>
          <c:idx val="1"/>
          <c:order val="1"/>
          <c:tx>
            <c:v>Effective-Paraffin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'Molar-Compositions'!$D$8:$D$31</c:f>
              <c:numCache>
                <c:formatCode>0.000</c:formatCode>
                <c:ptCount val="24"/>
                <c:pt idx="0">
                  <c:v>16.726336093443564</c:v>
                </c:pt>
                <c:pt idx="1">
                  <c:v>19.722866019204943</c:v>
                </c:pt>
                <c:pt idx="2">
                  <c:v>12.738338795757015</c:v>
                </c:pt>
                <c:pt idx="3">
                  <c:v>9.5824851966756004</c:v>
                </c:pt>
                <c:pt idx="4">
                  <c:v>6.7039916234865133</c:v>
                </c:pt>
                <c:pt idx="5">
                  <c:v>5.2310071097180053</c:v>
                </c:pt>
                <c:pt idx="6">
                  <c:v>4.9473709920916331</c:v>
                </c:pt>
                <c:pt idx="7">
                  <c:v>3.8153549018753798</c:v>
                </c:pt>
                <c:pt idx="8">
                  <c:v>2.8918022528302325</c:v>
                </c:pt>
                <c:pt idx="9">
                  <c:v>2.1937635552186792</c:v>
                </c:pt>
                <c:pt idx="10">
                  <c:v>1.9258556957070909</c:v>
                </c:pt>
                <c:pt idx="11">
                  <c:v>1.7615811335709954</c:v>
                </c:pt>
                <c:pt idx="12">
                  <c:v>1.5130791595788233</c:v>
                </c:pt>
                <c:pt idx="13">
                  <c:v>1.2078171144573169</c:v>
                </c:pt>
                <c:pt idx="14">
                  <c:v>1.0585919360824336</c:v>
                </c:pt>
                <c:pt idx="15">
                  <c:v>0.90942650494374633</c:v>
                </c:pt>
                <c:pt idx="16">
                  <c:v>0.80543112860359556</c:v>
                </c:pt>
                <c:pt idx="17">
                  <c:v>0.70391731624212073</c:v>
                </c:pt>
                <c:pt idx="18">
                  <c:v>0.64608580819959538</c:v>
                </c:pt>
                <c:pt idx="19">
                  <c:v>0.56420442676121485</c:v>
                </c:pt>
                <c:pt idx="20">
                  <c:v>0.48290403557494793</c:v>
                </c:pt>
                <c:pt idx="21">
                  <c:v>0.43916375984653871</c:v>
                </c:pt>
                <c:pt idx="22">
                  <c:v>0.38822585027835443</c:v>
                </c:pt>
                <c:pt idx="23">
                  <c:v>3.0403995898516216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C-418C-82F9-C2DBB3967C4B}"/>
            </c:ext>
          </c:extLst>
        </c:ser>
        <c:ser>
          <c:idx val="2"/>
          <c:order val="2"/>
          <c:tx>
            <c:v>Twu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'Molar-Compositions'!$E$8:$E$31</c:f>
              <c:numCache>
                <c:formatCode>0.000</c:formatCode>
                <c:ptCount val="24"/>
                <c:pt idx="0">
                  <c:v>16.232722495020592</c:v>
                </c:pt>
                <c:pt idx="1">
                  <c:v>19.203648384654485</c:v>
                </c:pt>
                <c:pt idx="2">
                  <c:v>12.497670777501185</c:v>
                </c:pt>
                <c:pt idx="3">
                  <c:v>9.4819173884049341</c:v>
                </c:pt>
                <c:pt idx="4">
                  <c:v>6.6933625495985734</c:v>
                </c:pt>
                <c:pt idx="5">
                  <c:v>5.2704670386977046</c:v>
                </c:pt>
                <c:pt idx="6">
                  <c:v>5.0300548749728762</c:v>
                </c:pt>
                <c:pt idx="7">
                  <c:v>3.9138530864098899</c:v>
                </c:pt>
                <c:pt idx="8">
                  <c:v>2.9924102472253455</c:v>
                </c:pt>
                <c:pt idx="9">
                  <c:v>2.289407280542326</c:v>
                </c:pt>
                <c:pt idx="10">
                  <c:v>2.0264257924459756</c:v>
                </c:pt>
                <c:pt idx="11">
                  <c:v>1.8684232202376245</c:v>
                </c:pt>
                <c:pt idx="12">
                  <c:v>1.6173077122682935</c:v>
                </c:pt>
                <c:pt idx="13">
                  <c:v>1.3007276996868349</c:v>
                </c:pt>
                <c:pt idx="14">
                  <c:v>1.1483319272613488</c:v>
                </c:pt>
                <c:pt idx="15">
                  <c:v>0.9934885154367542</c:v>
                </c:pt>
                <c:pt idx="16">
                  <c:v>0.88590528997939499</c:v>
                </c:pt>
                <c:pt idx="17">
                  <c:v>0.77939085971849043</c:v>
                </c:pt>
                <c:pt idx="18">
                  <c:v>0.71996805530687413</c:v>
                </c:pt>
                <c:pt idx="19">
                  <c:v>0.63265525144003165</c:v>
                </c:pt>
                <c:pt idx="20">
                  <c:v>0.54477976482552593</c:v>
                </c:pt>
                <c:pt idx="21">
                  <c:v>0.49835782948387641</c:v>
                </c:pt>
                <c:pt idx="22">
                  <c:v>0.44308017982732695</c:v>
                </c:pt>
                <c:pt idx="23">
                  <c:v>2.9356437790537004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C-418C-82F9-C2DBB3967C4B}"/>
            </c:ext>
          </c:extLst>
        </c:ser>
        <c:ser>
          <c:idx val="3"/>
          <c:order val="3"/>
          <c:tx>
            <c:v>Pedersen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'Molar-Compositions'!$F$8:$F$31</c:f>
              <c:numCache>
                <c:formatCode>0.000</c:formatCode>
                <c:ptCount val="24"/>
                <c:pt idx="0">
                  <c:v>17.011388658531445</c:v>
                </c:pt>
                <c:pt idx="1">
                  <c:v>19.846047198951354</c:v>
                </c:pt>
                <c:pt idx="2">
                  <c:v>12.716601758020389</c:v>
                </c:pt>
                <c:pt idx="3">
                  <c:v>9.5087790615919996</c:v>
                </c:pt>
                <c:pt idx="4">
                  <c:v>6.6216116480301501</c:v>
                </c:pt>
                <c:pt idx="5">
                  <c:v>5.1479217554553678</c:v>
                </c:pt>
                <c:pt idx="6">
                  <c:v>4.8546475617913467</c:v>
                </c:pt>
                <c:pt idx="7">
                  <c:v>3.7350445704181978</c:v>
                </c:pt>
                <c:pt idx="8">
                  <c:v>2.8254745103140575</c:v>
                </c:pt>
                <c:pt idx="9">
                  <c:v>2.1400192859774583</c:v>
                </c:pt>
                <c:pt idx="10">
                  <c:v>1.8761577152530784</c:v>
                </c:pt>
                <c:pt idx="11">
                  <c:v>1.7141776287909498</c:v>
                </c:pt>
                <c:pt idx="12">
                  <c:v>1.4709397567863336</c:v>
                </c:pt>
                <c:pt idx="13">
                  <c:v>1.1732042147604351</c:v>
                </c:pt>
                <c:pt idx="14">
                  <c:v>1.0275168100415562</c:v>
                </c:pt>
                <c:pt idx="15">
                  <c:v>0.88217833506795873</c:v>
                </c:pt>
                <c:pt idx="16">
                  <c:v>0.78087151047646552</c:v>
                </c:pt>
                <c:pt idx="17">
                  <c:v>0.68212488605498711</c:v>
                </c:pt>
                <c:pt idx="18">
                  <c:v>0.62581782873546576</c:v>
                </c:pt>
                <c:pt idx="19">
                  <c:v>0.54629924500084159</c:v>
                </c:pt>
                <c:pt idx="20">
                  <c:v>0.46742218645241695</c:v>
                </c:pt>
                <c:pt idx="21">
                  <c:v>0.42495695413381002</c:v>
                </c:pt>
                <c:pt idx="22">
                  <c:v>0.37556612374721782</c:v>
                </c:pt>
                <c:pt idx="23">
                  <c:v>3.5452307956167113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1-470D-B714-8DEAA5EF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12959"/>
        <c:axId val="164911039"/>
      </c:lineChart>
      <c:catAx>
        <c:axId val="16491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1039"/>
        <c:crosses val="autoZero"/>
        <c:auto val="1"/>
        <c:lblAlgn val="ctr"/>
        <c:lblOffset val="100"/>
        <c:noMultiLvlLbl val="0"/>
      </c:catAx>
      <c:valAx>
        <c:axId val="16491103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 Composition (mole%)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E+0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295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4154534381421019"/>
          <c:y val="1.2149199826913763E-2"/>
          <c:w val="0.83734736895629613"/>
          <c:h val="4.608408279218712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Effective-Paraffin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0070C0"/>
                </a:solidFill>
              </a:ln>
              <a:effectLst/>
            </c:spPr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'Molar-Compositions'!$P$8:$P$31</c:f>
              <c:numCache>
                <c:formatCode>0.00E+00</c:formatCode>
                <c:ptCount val="24"/>
                <c:pt idx="0">
                  <c:v>6.445215779873692E-2</c:v>
                </c:pt>
                <c:pt idx="1">
                  <c:v>1.9454851168703158E-2</c:v>
                </c:pt>
                <c:pt idx="2">
                  <c:v>-1.1290746853207523E-2</c:v>
                </c:pt>
                <c:pt idx="3">
                  <c:v>-1.9724604870239304E-2</c:v>
                </c:pt>
                <c:pt idx="4">
                  <c:v>-1.8407728262768153E-2</c:v>
                </c:pt>
                <c:pt idx="5">
                  <c:v>-1.6218592532423415E-2</c:v>
                </c:pt>
                <c:pt idx="6">
                  <c:v>-1.5968373037404504E-2</c:v>
                </c:pt>
                <c:pt idx="7">
                  <c:v>-1.2208493996829883E-2</c:v>
                </c:pt>
                <c:pt idx="8">
                  <c:v>-8.8693626701115136E-3</c:v>
                </c:pt>
                <c:pt idx="9">
                  <c:v>-6.28298001148897E-3</c:v>
                </c:pt>
                <c:pt idx="10">
                  <c:v>-5.0356592630638186E-3</c:v>
                </c:pt>
                <c:pt idx="11">
                  <c:v>-4.1152604526579761E-3</c:v>
                </c:pt>
                <c:pt idx="12">
                  <c:v>-3.0864411991899932E-3</c:v>
                </c:pt>
                <c:pt idx="13">
                  <c:v>-2.0945740571922666E-3</c:v>
                </c:pt>
                <c:pt idx="14">
                  <c:v>-1.5084041452881891E-3</c:v>
                </c:pt>
                <c:pt idx="15">
                  <c:v>-1.0149913975999736E-3</c:v>
                </c:pt>
                <c:pt idx="16">
                  <c:v>-6.5277676761132941E-4</c:v>
                </c:pt>
                <c:pt idx="17">
                  <c:v>-3.5899986228216108E-4</c:v>
                </c:pt>
                <c:pt idx="18">
                  <c:v>-1.3953269452415817E-4</c:v>
                </c:pt>
                <c:pt idx="19">
                  <c:v>3.9950907994579232E-5</c:v>
                </c:pt>
                <c:pt idx="20">
                  <c:v>1.6892822932840224E-4</c:v>
                </c:pt>
                <c:pt idx="21">
                  <c:v>2.7262681561929236E-4</c:v>
                </c:pt>
                <c:pt idx="22">
                  <c:v>3.4304096245119098E-4</c:v>
                </c:pt>
                <c:pt idx="23">
                  <c:v>4.2245966191065687E-2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E-4A6B-9E81-8D1442111B1E}"/>
            </c:ext>
          </c:extLst>
        </c:ser>
        <c:ser>
          <c:idx val="2"/>
          <c:order val="1"/>
          <c:tx>
            <c:v>Twu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'Molar-Compositions'!$Q$8:$Q$31</c:f>
              <c:numCache>
                <c:formatCode>0.00E+00</c:formatCode>
                <c:ptCount val="24"/>
                <c:pt idx="0">
                  <c:v>0.5580657562217084</c:v>
                </c:pt>
                <c:pt idx="1">
                  <c:v>0.53867248571916093</c:v>
                </c:pt>
                <c:pt idx="2">
                  <c:v>0.22937727140262254</c:v>
                </c:pt>
                <c:pt idx="3">
                  <c:v>8.0843203400426944E-2</c:v>
                </c:pt>
                <c:pt idx="4">
                  <c:v>-7.7786543748281645E-3</c:v>
                </c:pt>
                <c:pt idx="5">
                  <c:v>-5.5678521512122714E-2</c:v>
                </c:pt>
                <c:pt idx="6">
                  <c:v>-9.8652255918647569E-2</c:v>
                </c:pt>
                <c:pt idx="7">
                  <c:v>-0.11070667853133997</c:v>
                </c:pt>
                <c:pt idx="8">
                  <c:v>-0.10947735706522455</c:v>
                </c:pt>
                <c:pt idx="9">
                  <c:v>-0.10192670533513581</c:v>
                </c:pt>
                <c:pt idx="10">
                  <c:v>-0.10560575600194855</c:v>
                </c:pt>
                <c:pt idx="11">
                  <c:v>-0.11095734711928706</c:v>
                </c:pt>
                <c:pt idx="12">
                  <c:v>-0.10731499388866017</c:v>
                </c:pt>
                <c:pt idx="13">
                  <c:v>-9.5005159286710272E-2</c:v>
                </c:pt>
                <c:pt idx="14">
                  <c:v>-9.1248395324203369E-2</c:v>
                </c:pt>
                <c:pt idx="15">
                  <c:v>-8.5077001890607851E-2</c:v>
                </c:pt>
                <c:pt idx="16">
                  <c:v>-8.1126938143410765E-2</c:v>
                </c:pt>
                <c:pt idx="17">
                  <c:v>-7.5832543338651859E-2</c:v>
                </c:pt>
                <c:pt idx="18">
                  <c:v>-7.4021779801802912E-2</c:v>
                </c:pt>
                <c:pt idx="19">
                  <c:v>-6.8410873770822223E-2</c:v>
                </c:pt>
                <c:pt idx="20">
                  <c:v>-6.1706801021249591E-2</c:v>
                </c:pt>
                <c:pt idx="21">
                  <c:v>-5.8921442821718406E-2</c:v>
                </c:pt>
                <c:pt idx="22">
                  <c:v>-5.4511288586521323E-2</c:v>
                </c:pt>
                <c:pt idx="23">
                  <c:v>0.14700177698898687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E-4A6B-9E81-8D1442111B1E}"/>
            </c:ext>
          </c:extLst>
        </c:ser>
        <c:ser>
          <c:idx val="5"/>
          <c:order val="2"/>
          <c:tx>
            <c:v>Pedersen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val>
            <c:numRef>
              <c:f>'Molar-Compositions'!$R$8:$R$31</c:f>
              <c:numCache>
                <c:formatCode>0.00E+00</c:formatCode>
                <c:ptCount val="24"/>
                <c:pt idx="0">
                  <c:v>-0.22060040728914387</c:v>
                </c:pt>
                <c:pt idx="1">
                  <c:v>-0.10372632857770725</c:v>
                </c:pt>
                <c:pt idx="2">
                  <c:v>1.0446290883418641E-2</c:v>
                </c:pt>
                <c:pt idx="3">
                  <c:v>5.3981530213361495E-2</c:v>
                </c:pt>
                <c:pt idx="4">
                  <c:v>6.3972247193595067E-2</c:v>
                </c:pt>
                <c:pt idx="5">
                  <c:v>6.6866761730214108E-2</c:v>
                </c:pt>
                <c:pt idx="6">
                  <c:v>7.6755057262881898E-2</c:v>
                </c:pt>
                <c:pt idx="7">
                  <c:v>6.8101837460352144E-2</c:v>
                </c:pt>
                <c:pt idx="8">
                  <c:v>5.7458379846063501E-2</c:v>
                </c:pt>
                <c:pt idx="9">
                  <c:v>4.7461289229731918E-2</c:v>
                </c:pt>
                <c:pt idx="10">
                  <c:v>4.4662321190948706E-2</c:v>
                </c:pt>
                <c:pt idx="11">
                  <c:v>4.3288244327387648E-2</c:v>
                </c:pt>
                <c:pt idx="12">
                  <c:v>3.905296159329974E-2</c:v>
                </c:pt>
                <c:pt idx="13">
                  <c:v>3.2518325639689483E-2</c:v>
                </c:pt>
                <c:pt idx="14">
                  <c:v>2.9566721895589287E-2</c:v>
                </c:pt>
                <c:pt idx="15">
                  <c:v>2.6233178478187624E-2</c:v>
                </c:pt>
                <c:pt idx="16">
                  <c:v>2.3906841359518705E-2</c:v>
                </c:pt>
                <c:pt idx="17">
                  <c:v>2.1433430324851455E-2</c:v>
                </c:pt>
                <c:pt idx="18">
                  <c:v>2.0128446769605457E-2</c:v>
                </c:pt>
                <c:pt idx="19">
                  <c:v>1.7945132668367836E-2</c:v>
                </c:pt>
                <c:pt idx="20">
                  <c:v>1.565077735185938E-2</c:v>
                </c:pt>
                <c:pt idx="21">
                  <c:v>1.4479432528347991E-2</c:v>
                </c:pt>
                <c:pt idx="22">
                  <c:v>1.3002767493587808E-2</c:v>
                </c:pt>
                <c:pt idx="23">
                  <c:v>-0.46258523957402398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6-4C11-A02F-463E6A6A3088}"/>
            </c:ext>
          </c:extLst>
        </c:ser>
        <c:ser>
          <c:idx val="0"/>
          <c:order val="3"/>
          <c:tx>
            <c:v>+/- 0.5 mole%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'Molar-Compositions'!$AB$8:$AB$31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E-4A6B-9E81-8D1442111B1E}"/>
            </c:ext>
          </c:extLst>
        </c:ser>
        <c:ser>
          <c:idx val="3"/>
          <c:order val="4"/>
          <c:tx>
            <c:v>-0.5 mole%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'Molar-Compositions'!$AC$8:$AC$31</c:f>
              <c:numCache>
                <c:formatCode>General</c:formatCode>
                <c:ptCount val="2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E-4A6B-9E81-8D1442111B1E}"/>
            </c:ext>
          </c:extLst>
        </c:ser>
        <c:ser>
          <c:idx val="4"/>
          <c:order val="5"/>
          <c:tx>
            <c:v>No deviation</c:v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'Molar-Compositions'!$AD$8:$AD$31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E-4A6B-9E81-8D144211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12959"/>
        <c:axId val="164911039"/>
      </c:lineChart>
      <c:catAx>
        <c:axId val="16491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1039"/>
        <c:crosses val="autoZero"/>
        <c:auto val="1"/>
        <c:lblAlgn val="ctr"/>
        <c:lblOffset val="100"/>
        <c:noMultiLvlLbl val="0"/>
      </c:catAx>
      <c:valAx>
        <c:axId val="164911039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Deviation from Normal Paraffin MWs (mole%)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295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0875210676274739"/>
          <c:y val="1.2149199826913763E-2"/>
          <c:w val="0.87070061780470154"/>
          <c:h val="4.78793475189581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Effective-Paraffin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0070C0"/>
                </a:solidFill>
              </a:ln>
              <a:effectLst/>
            </c:spPr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'Molar-Compositions'!$V$8:$V$31</c:f>
              <c:numCache>
                <c:formatCode>0.00E+00</c:formatCode>
                <c:ptCount val="24"/>
                <c:pt idx="0">
                  <c:v>6.445215779873692E-2</c:v>
                </c:pt>
                <c:pt idx="1">
                  <c:v>1.9454851168703158E-2</c:v>
                </c:pt>
                <c:pt idx="2">
                  <c:v>1.1290746853207523E-2</c:v>
                </c:pt>
                <c:pt idx="3">
                  <c:v>1.9724604870239304E-2</c:v>
                </c:pt>
                <c:pt idx="4">
                  <c:v>1.8407728262768153E-2</c:v>
                </c:pt>
                <c:pt idx="5">
                  <c:v>1.6218592532423415E-2</c:v>
                </c:pt>
                <c:pt idx="6">
                  <c:v>1.5968373037404504E-2</c:v>
                </c:pt>
                <c:pt idx="7">
                  <c:v>1.2208493996829883E-2</c:v>
                </c:pt>
                <c:pt idx="8">
                  <c:v>8.8693626701115136E-3</c:v>
                </c:pt>
                <c:pt idx="9">
                  <c:v>6.28298001148897E-3</c:v>
                </c:pt>
                <c:pt idx="10">
                  <c:v>5.0356592630638186E-3</c:v>
                </c:pt>
                <c:pt idx="11">
                  <c:v>4.1152604526579761E-3</c:v>
                </c:pt>
                <c:pt idx="12">
                  <c:v>3.0864411991899932E-3</c:v>
                </c:pt>
                <c:pt idx="13">
                  <c:v>2.0945740571922666E-3</c:v>
                </c:pt>
                <c:pt idx="14">
                  <c:v>1.5084041452881891E-3</c:v>
                </c:pt>
                <c:pt idx="15">
                  <c:v>1.0149913975999736E-3</c:v>
                </c:pt>
                <c:pt idx="16">
                  <c:v>6.5277676761132941E-4</c:v>
                </c:pt>
                <c:pt idx="17">
                  <c:v>3.5899986228216108E-4</c:v>
                </c:pt>
                <c:pt idx="18">
                  <c:v>1.3953269452415817E-4</c:v>
                </c:pt>
                <c:pt idx="19">
                  <c:v>3.9950907994579232E-5</c:v>
                </c:pt>
                <c:pt idx="20">
                  <c:v>1.6892822932840224E-4</c:v>
                </c:pt>
                <c:pt idx="21">
                  <c:v>2.7262681561929236E-4</c:v>
                </c:pt>
                <c:pt idx="22">
                  <c:v>3.4304096245119098E-4</c:v>
                </c:pt>
                <c:pt idx="23">
                  <c:v>4.2245966191065687E-2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CC5-B742-780DBACAC5D2}"/>
            </c:ext>
          </c:extLst>
        </c:ser>
        <c:ser>
          <c:idx val="2"/>
          <c:order val="1"/>
          <c:tx>
            <c:v>Twu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'Molar-Compositions'!$W$8:$W$31</c:f>
              <c:numCache>
                <c:formatCode>0.00E+00</c:formatCode>
                <c:ptCount val="24"/>
                <c:pt idx="0">
                  <c:v>0.5580657562217084</c:v>
                </c:pt>
                <c:pt idx="1">
                  <c:v>0.53867248571916093</c:v>
                </c:pt>
                <c:pt idx="2">
                  <c:v>0.22937727140262254</c:v>
                </c:pt>
                <c:pt idx="3">
                  <c:v>8.0843203400426944E-2</c:v>
                </c:pt>
                <c:pt idx="4">
                  <c:v>7.7786543748281645E-3</c:v>
                </c:pt>
                <c:pt idx="5">
                  <c:v>5.5678521512122714E-2</c:v>
                </c:pt>
                <c:pt idx="6">
                  <c:v>9.8652255918647569E-2</c:v>
                </c:pt>
                <c:pt idx="7">
                  <c:v>0.11070667853133997</c:v>
                </c:pt>
                <c:pt idx="8">
                  <c:v>0.10947735706522455</c:v>
                </c:pt>
                <c:pt idx="9">
                  <c:v>0.10192670533513581</c:v>
                </c:pt>
                <c:pt idx="10">
                  <c:v>0.10560575600194855</c:v>
                </c:pt>
                <c:pt idx="11">
                  <c:v>0.11095734711928706</c:v>
                </c:pt>
                <c:pt idx="12">
                  <c:v>0.10731499388866017</c:v>
                </c:pt>
                <c:pt idx="13">
                  <c:v>9.5005159286710272E-2</c:v>
                </c:pt>
                <c:pt idx="14">
                  <c:v>9.1248395324203369E-2</c:v>
                </c:pt>
                <c:pt idx="15">
                  <c:v>8.5077001890607851E-2</c:v>
                </c:pt>
                <c:pt idx="16">
                  <c:v>8.1126938143410765E-2</c:v>
                </c:pt>
                <c:pt idx="17">
                  <c:v>7.5832543338651859E-2</c:v>
                </c:pt>
                <c:pt idx="18">
                  <c:v>7.4021779801802912E-2</c:v>
                </c:pt>
                <c:pt idx="19">
                  <c:v>6.8410873770822223E-2</c:v>
                </c:pt>
                <c:pt idx="20">
                  <c:v>6.1706801021249591E-2</c:v>
                </c:pt>
                <c:pt idx="21">
                  <c:v>5.8921442821718406E-2</c:v>
                </c:pt>
                <c:pt idx="22">
                  <c:v>5.4511288586521323E-2</c:v>
                </c:pt>
                <c:pt idx="23">
                  <c:v>0.14700177698898687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2-4CC5-B742-780DBACAC5D2}"/>
            </c:ext>
          </c:extLst>
        </c:ser>
        <c:ser>
          <c:idx val="3"/>
          <c:order val="2"/>
          <c:tx>
            <c:v>Pedersen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val>
            <c:numRef>
              <c:f>'Molar-Compositions'!$X$8:$X$31</c:f>
              <c:numCache>
                <c:formatCode>0.00E+00</c:formatCode>
                <c:ptCount val="24"/>
                <c:pt idx="0">
                  <c:v>0.22060040728914387</c:v>
                </c:pt>
                <c:pt idx="1">
                  <c:v>0.10372632857770725</c:v>
                </c:pt>
                <c:pt idx="2">
                  <c:v>1.0446290883418641E-2</c:v>
                </c:pt>
                <c:pt idx="3">
                  <c:v>5.3981530213361495E-2</c:v>
                </c:pt>
                <c:pt idx="4">
                  <c:v>6.3972247193595067E-2</c:v>
                </c:pt>
                <c:pt idx="5">
                  <c:v>6.6866761730214108E-2</c:v>
                </c:pt>
                <c:pt idx="6">
                  <c:v>7.6755057262881898E-2</c:v>
                </c:pt>
                <c:pt idx="7">
                  <c:v>6.8101837460352144E-2</c:v>
                </c:pt>
                <c:pt idx="8">
                  <c:v>5.7458379846063501E-2</c:v>
                </c:pt>
                <c:pt idx="9">
                  <c:v>4.7461289229731918E-2</c:v>
                </c:pt>
                <c:pt idx="10">
                  <c:v>4.4662321190948706E-2</c:v>
                </c:pt>
                <c:pt idx="11">
                  <c:v>4.3288244327387648E-2</c:v>
                </c:pt>
                <c:pt idx="12">
                  <c:v>3.905296159329974E-2</c:v>
                </c:pt>
                <c:pt idx="13">
                  <c:v>3.2518325639689483E-2</c:v>
                </c:pt>
                <c:pt idx="14">
                  <c:v>2.9566721895589287E-2</c:v>
                </c:pt>
                <c:pt idx="15">
                  <c:v>2.6233178478187624E-2</c:v>
                </c:pt>
                <c:pt idx="16">
                  <c:v>2.3906841359518705E-2</c:v>
                </c:pt>
                <c:pt idx="17">
                  <c:v>2.1433430324851455E-2</c:v>
                </c:pt>
                <c:pt idx="18">
                  <c:v>2.0128446769605457E-2</c:v>
                </c:pt>
                <c:pt idx="19">
                  <c:v>1.7945132668367836E-2</c:v>
                </c:pt>
                <c:pt idx="20">
                  <c:v>1.565077735185938E-2</c:v>
                </c:pt>
                <c:pt idx="21">
                  <c:v>1.4479432528347991E-2</c:v>
                </c:pt>
                <c:pt idx="22">
                  <c:v>1.3002767493587808E-2</c:v>
                </c:pt>
                <c:pt idx="23">
                  <c:v>0.46258523957402398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8-403D-9091-0BC58C490B03}"/>
            </c:ext>
          </c:extLst>
        </c:ser>
        <c:ser>
          <c:idx val="0"/>
          <c:order val="3"/>
          <c:tx>
            <c:v>+/- 0.5 mole%</c:v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'Molar-Compositions'!$B$8:$B$32</c:f>
              <c:strCache>
                <c:ptCount val="25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  <c:pt idx="24">
                  <c:v>Total:</c:v>
                </c:pt>
              </c:strCache>
            </c:strRef>
          </c:cat>
          <c:val>
            <c:numRef>
              <c:f>'Molar-Compositions'!$AB$8:$AB$31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2-4CC5-B742-780DBACA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12959"/>
        <c:axId val="164911039"/>
      </c:lineChart>
      <c:catAx>
        <c:axId val="16491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1039"/>
        <c:crosses val="autoZero"/>
        <c:auto val="1"/>
        <c:lblAlgn val="ctr"/>
        <c:lblOffset val="100"/>
        <c:noMultiLvlLbl val="0"/>
      </c:catAx>
      <c:valAx>
        <c:axId val="16491103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Absolute</a:t>
                </a:r>
                <a:r>
                  <a:rPr lang="en-US" b="1" baseline="0"/>
                  <a:t> </a:t>
                </a:r>
                <a:r>
                  <a:rPr lang="en-US" b="1"/>
                  <a:t>Deviation from Paraffin MWs (mole%)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E+0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1295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483660046905905"/>
          <c:y val="1.2149199826913763E-2"/>
          <c:w val="0.83491856210751603"/>
          <c:h val="4.78793475189581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E73F01-1248-42A2-A567-8929F65F5E2C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3316E5-4660-4075-B0EC-F3B029D86EDA}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E77469-2C1B-49FD-8B81-BDDABD45E073}">
  <sheetPr/>
  <sheetViews>
    <sheetView zoomScale="5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EC80FD-84D8-ACD6-C309-171891EE55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D8228F-7048-1C2B-DE79-74F7614048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BDAF6F-1223-9DE1-A410-F589901A7F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8D56-A19C-4313-86D4-F4A10B77928D}">
  <dimension ref="C3:H42"/>
  <sheetViews>
    <sheetView workbookViewId="0">
      <selection activeCell="G41" sqref="G41:H41"/>
    </sheetView>
  </sheetViews>
  <sheetFormatPr defaultColWidth="8.7109375" defaultRowHeight="15" x14ac:dyDescent="0.25"/>
  <cols>
    <col min="1" max="2" width="8.7109375" style="123"/>
    <col min="3" max="3" width="12.42578125" style="123" customWidth="1"/>
    <col min="4" max="4" width="11.140625" style="123" customWidth="1"/>
    <col min="5" max="5" width="12.42578125" style="123" customWidth="1"/>
    <col min="6" max="6" width="11.140625" style="123" customWidth="1"/>
    <col min="7" max="7" width="12.42578125" style="123" customWidth="1"/>
    <col min="8" max="8" width="11.140625" style="123" customWidth="1"/>
    <col min="9" max="16384" width="8.7109375" style="123"/>
  </cols>
  <sheetData>
    <row r="3" spans="3:8" x14ac:dyDescent="0.25">
      <c r="C3" s="128" t="s">
        <v>0</v>
      </c>
      <c r="D3" s="129"/>
      <c r="E3" s="128" t="s">
        <v>1</v>
      </c>
      <c r="F3" s="129"/>
      <c r="G3" s="128" t="s">
        <v>2</v>
      </c>
      <c r="H3" s="129"/>
    </row>
    <row r="4" spans="3:8" x14ac:dyDescent="0.25">
      <c r="C4" s="43" t="s">
        <v>3</v>
      </c>
      <c r="D4" s="44" t="s">
        <v>4</v>
      </c>
      <c r="E4" s="43" t="s">
        <v>3</v>
      </c>
      <c r="F4" s="44" t="s">
        <v>4</v>
      </c>
      <c r="G4" s="43" t="s">
        <v>3</v>
      </c>
      <c r="H4" s="44" t="s">
        <v>4</v>
      </c>
    </row>
    <row r="5" spans="3:8" x14ac:dyDescent="0.25">
      <c r="C5" s="48" t="s">
        <v>5</v>
      </c>
      <c r="D5" s="47" t="s">
        <v>6</v>
      </c>
      <c r="E5" s="48" t="s">
        <v>5</v>
      </c>
      <c r="F5" s="47" t="s">
        <v>6</v>
      </c>
      <c r="G5" s="48" t="s">
        <v>5</v>
      </c>
      <c r="H5" s="47" t="s">
        <v>6</v>
      </c>
    </row>
    <row r="6" spans="3:8" x14ac:dyDescent="0.25">
      <c r="C6" s="71"/>
      <c r="D6" s="75" t="s">
        <v>7</v>
      </c>
      <c r="E6" s="71"/>
      <c r="F6" s="75" t="s">
        <v>7</v>
      </c>
      <c r="G6" s="71"/>
      <c r="H6" s="75" t="s">
        <v>7</v>
      </c>
    </row>
    <row r="7" spans="3:8" x14ac:dyDescent="0.25">
      <c r="C7" s="9" t="s">
        <v>8</v>
      </c>
      <c r="D7" s="124">
        <v>0.44999999999999996</v>
      </c>
      <c r="E7" s="9" t="s">
        <v>9</v>
      </c>
      <c r="F7" s="124">
        <v>9.4251258634820285</v>
      </c>
      <c r="G7" s="9" t="s">
        <v>8</v>
      </c>
      <c r="H7" s="124">
        <v>0.44999999999999996</v>
      </c>
    </row>
    <row r="8" spans="3:8" x14ac:dyDescent="0.25">
      <c r="C8" s="11" t="s">
        <v>10</v>
      </c>
      <c r="D8" s="125">
        <v>0.18</v>
      </c>
      <c r="E8" s="11" t="s">
        <v>11</v>
      </c>
      <c r="F8" s="125">
        <v>12.633181126331813</v>
      </c>
      <c r="G8" s="11" t="s">
        <v>10</v>
      </c>
      <c r="H8" s="125">
        <v>0.18</v>
      </c>
    </row>
    <row r="9" spans="3:8" x14ac:dyDescent="0.25">
      <c r="C9" s="11" t="s">
        <v>12</v>
      </c>
      <c r="D9" s="125">
        <v>0</v>
      </c>
      <c r="E9" s="11" t="s">
        <v>13</v>
      </c>
      <c r="F9" s="125">
        <v>9.1441283222105145</v>
      </c>
      <c r="G9" s="11" t="s">
        <v>12</v>
      </c>
      <c r="H9" s="125">
        <v>0</v>
      </c>
    </row>
    <row r="10" spans="3:8" x14ac:dyDescent="0.25">
      <c r="C10" s="11" t="s">
        <v>14</v>
      </c>
      <c r="D10" s="125">
        <v>17.84</v>
      </c>
      <c r="E10" s="11" t="s">
        <v>15</v>
      </c>
      <c r="F10" s="125">
        <v>7.6220583069898122</v>
      </c>
      <c r="G10" s="11" t="s">
        <v>14</v>
      </c>
      <c r="H10" s="125">
        <v>17.84</v>
      </c>
    </row>
    <row r="11" spans="3:8" x14ac:dyDescent="0.25">
      <c r="C11" s="11" t="s">
        <v>16</v>
      </c>
      <c r="D11" s="125">
        <v>7.82</v>
      </c>
      <c r="E11" s="11" t="s">
        <v>17</v>
      </c>
      <c r="F11" s="125">
        <v>5.8541154431565401</v>
      </c>
      <c r="G11" s="11" t="s">
        <v>16</v>
      </c>
      <c r="H11" s="125">
        <v>7.82</v>
      </c>
    </row>
    <row r="12" spans="3:8" x14ac:dyDescent="0.25">
      <c r="C12" s="11" t="s">
        <v>18</v>
      </c>
      <c r="D12" s="125">
        <v>7.17</v>
      </c>
      <c r="E12" s="11" t="s">
        <v>19</v>
      </c>
      <c r="F12" s="125">
        <v>4.9759981266830584</v>
      </c>
      <c r="G12" s="11" t="s">
        <v>18</v>
      </c>
      <c r="H12" s="125">
        <v>7.17</v>
      </c>
    </row>
    <row r="13" spans="3:8" x14ac:dyDescent="0.25">
      <c r="C13" s="11" t="s">
        <v>20</v>
      </c>
      <c r="D13" s="125">
        <v>1.73</v>
      </c>
      <c r="E13" s="11" t="s">
        <v>21</v>
      </c>
      <c r="F13" s="125">
        <v>5.0930804355461889</v>
      </c>
      <c r="G13" s="11" t="s">
        <v>20</v>
      </c>
      <c r="H13" s="125">
        <v>1.73</v>
      </c>
    </row>
    <row r="14" spans="3:8" x14ac:dyDescent="0.25">
      <c r="C14" s="11" t="s">
        <v>22</v>
      </c>
      <c r="D14" s="125">
        <v>4.3499999999999996</v>
      </c>
      <c r="E14" s="11" t="s">
        <v>23</v>
      </c>
      <c r="F14" s="125">
        <v>4.2266713499590214</v>
      </c>
      <c r="G14" s="11" t="s">
        <v>22</v>
      </c>
      <c r="H14" s="125">
        <v>4.3499999999999996</v>
      </c>
    </row>
    <row r="15" spans="3:8" x14ac:dyDescent="0.25">
      <c r="C15" s="11" t="s">
        <v>24</v>
      </c>
      <c r="D15" s="125">
        <v>2.12</v>
      </c>
      <c r="E15" s="11" t="s">
        <v>25</v>
      </c>
      <c r="F15" s="125">
        <v>3.4305116496897319</v>
      </c>
      <c r="G15" s="11" t="s">
        <v>24</v>
      </c>
      <c r="H15" s="125">
        <v>2.12</v>
      </c>
    </row>
    <row r="16" spans="3:8" x14ac:dyDescent="0.25">
      <c r="C16" s="11" t="s">
        <v>26</v>
      </c>
      <c r="D16" s="125">
        <v>2.77</v>
      </c>
      <c r="E16" s="11" t="s">
        <v>27</v>
      </c>
      <c r="F16" s="125">
        <v>2.7748507200561998</v>
      </c>
      <c r="G16" s="11" t="s">
        <v>26</v>
      </c>
      <c r="H16" s="125">
        <v>2.77</v>
      </c>
    </row>
    <row r="17" spans="3:8" x14ac:dyDescent="0.25">
      <c r="C17" s="11" t="s">
        <v>28</v>
      </c>
      <c r="D17" s="125">
        <v>3.8600000000000003</v>
      </c>
      <c r="E17" s="11" t="s">
        <v>29</v>
      </c>
      <c r="F17" s="125">
        <v>2.5875190258751908</v>
      </c>
      <c r="G17" s="11" t="s">
        <v>28</v>
      </c>
      <c r="H17" s="125">
        <v>3.8600000000000003</v>
      </c>
    </row>
    <row r="18" spans="3:8" x14ac:dyDescent="0.25">
      <c r="C18" s="11" t="s">
        <v>30</v>
      </c>
      <c r="D18" s="125">
        <v>51.709999999999987</v>
      </c>
      <c r="E18" s="11" t="s">
        <v>31</v>
      </c>
      <c r="F18" s="125">
        <v>2.5055614096709986</v>
      </c>
      <c r="G18" s="11" t="s">
        <v>9</v>
      </c>
      <c r="H18" s="125">
        <v>4.8737325840065555</v>
      </c>
    </row>
    <row r="19" spans="3:8" x14ac:dyDescent="0.25">
      <c r="C19" s="76" t="s">
        <v>32</v>
      </c>
      <c r="D19" s="77">
        <f>SUM(D7:D18)</f>
        <v>99.999999999999986</v>
      </c>
      <c r="E19" s="11" t="s">
        <v>33</v>
      </c>
      <c r="F19" s="125">
        <v>2.2713967919447371</v>
      </c>
      <c r="G19" s="11" t="s">
        <v>11</v>
      </c>
      <c r="H19" s="125">
        <v>6.5326179604261796</v>
      </c>
    </row>
    <row r="20" spans="3:8" x14ac:dyDescent="0.25">
      <c r="E20" s="11" t="s">
        <v>34</v>
      </c>
      <c r="F20" s="125">
        <v>1.9084416344690314</v>
      </c>
      <c r="G20" s="11" t="s">
        <v>13</v>
      </c>
      <c r="H20" s="125">
        <v>4.7284287554150559</v>
      </c>
    </row>
    <row r="21" spans="3:8" x14ac:dyDescent="0.25">
      <c r="E21" s="11" t="s">
        <v>35</v>
      </c>
      <c r="F21" s="125">
        <v>1.7562346329469618</v>
      </c>
      <c r="G21" s="11" t="s">
        <v>15</v>
      </c>
      <c r="H21" s="125">
        <v>3.9413663505444312</v>
      </c>
    </row>
    <row r="22" spans="3:8" x14ac:dyDescent="0.25">
      <c r="E22" s="11" t="s">
        <v>36</v>
      </c>
      <c r="F22" s="125">
        <v>1.5806111696522658</v>
      </c>
      <c r="G22" s="11" t="s">
        <v>17</v>
      </c>
      <c r="H22" s="125">
        <v>3.0271630956562463</v>
      </c>
    </row>
    <row r="23" spans="3:8" x14ac:dyDescent="0.25">
      <c r="E23" s="11" t="s">
        <v>37</v>
      </c>
      <c r="F23" s="125">
        <v>1.463528860789135</v>
      </c>
      <c r="G23" s="11" t="s">
        <v>19</v>
      </c>
      <c r="H23" s="125">
        <v>2.573088631307809</v>
      </c>
    </row>
    <row r="24" spans="3:8" x14ac:dyDescent="0.25">
      <c r="E24" s="11" t="s">
        <v>38</v>
      </c>
      <c r="F24" s="125">
        <v>1.334738321039691</v>
      </c>
      <c r="G24" s="11" t="s">
        <v>21</v>
      </c>
      <c r="H24" s="125">
        <v>2.6336318932209339</v>
      </c>
    </row>
    <row r="25" spans="3:8" x14ac:dyDescent="0.25">
      <c r="E25" s="11" t="s">
        <v>39</v>
      </c>
      <c r="F25" s="125">
        <v>1.2761971666081258</v>
      </c>
      <c r="G25" s="11" t="s">
        <v>23</v>
      </c>
      <c r="H25" s="125">
        <v>2.1856117550638094</v>
      </c>
    </row>
    <row r="26" spans="3:8" x14ac:dyDescent="0.25">
      <c r="E26" s="11" t="s">
        <v>40</v>
      </c>
      <c r="F26" s="125">
        <v>1.159114857744995</v>
      </c>
      <c r="G26" s="11" t="s">
        <v>25</v>
      </c>
      <c r="H26" s="125">
        <v>1.7739175740545601</v>
      </c>
    </row>
    <row r="27" spans="3:8" x14ac:dyDescent="0.25">
      <c r="E27" s="11" t="s">
        <v>41</v>
      </c>
      <c r="F27" s="125">
        <v>1.0303243179955508</v>
      </c>
      <c r="G27" s="11" t="s">
        <v>27</v>
      </c>
      <c r="H27" s="125">
        <v>1.4348753073410607</v>
      </c>
    </row>
    <row r="28" spans="3:8" x14ac:dyDescent="0.25">
      <c r="E28" s="11" t="s">
        <v>42</v>
      </c>
      <c r="F28" s="125">
        <v>0.97178316356398542</v>
      </c>
      <c r="G28" s="11" t="s">
        <v>29</v>
      </c>
      <c r="H28" s="125">
        <v>1.3380060882800608</v>
      </c>
    </row>
    <row r="29" spans="3:8" x14ac:dyDescent="0.25">
      <c r="E29" s="11" t="s">
        <v>43</v>
      </c>
      <c r="F29" s="125">
        <v>0.88982554735979391</v>
      </c>
      <c r="G29" s="11" t="s">
        <v>31</v>
      </c>
      <c r="H29" s="125">
        <v>1.2956258049408731</v>
      </c>
    </row>
    <row r="30" spans="3:8" x14ac:dyDescent="0.25">
      <c r="E30" s="7" t="s">
        <v>44</v>
      </c>
      <c r="F30" s="126">
        <v>14.085001756234632</v>
      </c>
      <c r="G30" s="11" t="s">
        <v>33</v>
      </c>
      <c r="H30" s="125">
        <v>1.1745392811146234</v>
      </c>
    </row>
    <row r="31" spans="3:8" x14ac:dyDescent="0.25">
      <c r="E31" s="76" t="s">
        <v>32</v>
      </c>
      <c r="F31" s="77">
        <f>SUM(F7:F30)</f>
        <v>100.00000000000001</v>
      </c>
      <c r="G31" s="11" t="s">
        <v>34</v>
      </c>
      <c r="H31" s="125">
        <v>0.9868551691839359</v>
      </c>
    </row>
    <row r="32" spans="3:8" x14ac:dyDescent="0.25">
      <c r="G32" s="11" t="s">
        <v>35</v>
      </c>
      <c r="H32" s="125">
        <v>0.9081489286968738</v>
      </c>
    </row>
    <row r="33" spans="7:8" x14ac:dyDescent="0.25">
      <c r="G33" s="11" t="s">
        <v>36</v>
      </c>
      <c r="H33" s="125">
        <v>0.81733403582718644</v>
      </c>
    </row>
    <row r="34" spans="7:8" x14ac:dyDescent="0.25">
      <c r="G34" s="11" t="s">
        <v>37</v>
      </c>
      <c r="H34" s="125">
        <v>0.75679077391406158</v>
      </c>
    </row>
    <row r="35" spans="7:8" x14ac:dyDescent="0.25">
      <c r="G35" s="11" t="s">
        <v>38</v>
      </c>
      <c r="H35" s="125">
        <v>0.69019318580962408</v>
      </c>
    </row>
    <row r="36" spans="7:8" x14ac:dyDescent="0.25">
      <c r="G36" s="11" t="s">
        <v>39</v>
      </c>
      <c r="H36" s="125">
        <v>0.6599215548530617</v>
      </c>
    </row>
    <row r="37" spans="7:8" x14ac:dyDescent="0.25">
      <c r="G37" s="11" t="s">
        <v>40</v>
      </c>
      <c r="H37" s="125">
        <v>0.59937829293993683</v>
      </c>
    </row>
    <row r="38" spans="7:8" x14ac:dyDescent="0.25">
      <c r="G38" s="11" t="s">
        <v>41</v>
      </c>
      <c r="H38" s="125">
        <v>0.53278070483549922</v>
      </c>
    </row>
    <row r="39" spans="7:8" x14ac:dyDescent="0.25">
      <c r="G39" s="11" t="s">
        <v>42</v>
      </c>
      <c r="H39" s="125">
        <v>0.50250907387893673</v>
      </c>
    </row>
    <row r="40" spans="7:8" x14ac:dyDescent="0.25">
      <c r="G40" s="11" t="s">
        <v>43</v>
      </c>
      <c r="H40" s="125">
        <v>0.46012879053974931</v>
      </c>
    </row>
    <row r="41" spans="7:8" x14ac:dyDescent="0.25">
      <c r="G41" s="7" t="s">
        <v>44</v>
      </c>
      <c r="H41" s="126">
        <v>7.2833544081489272</v>
      </c>
    </row>
    <row r="42" spans="7:8" x14ac:dyDescent="0.25">
      <c r="G42" s="76" t="s">
        <v>32</v>
      </c>
      <c r="H42" s="127">
        <f>SUM(H7:H41)</f>
        <v>99.999999999999986</v>
      </c>
    </row>
  </sheetData>
  <mergeCells count="3">
    <mergeCell ref="E3:F3"/>
    <mergeCell ref="C3:D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58BE-775F-4A06-817B-08F3F74EF0FE}">
  <dimension ref="A2:AQ42"/>
  <sheetViews>
    <sheetView tabSelected="1" topLeftCell="I1" workbookViewId="0">
      <selection activeCell="R9" sqref="R9"/>
    </sheetView>
  </sheetViews>
  <sheetFormatPr defaultColWidth="8.7109375" defaultRowHeight="14.25" x14ac:dyDescent="0.2"/>
  <cols>
    <col min="1" max="1" width="8.7109375" style="1"/>
    <col min="2" max="2" width="11.5703125" style="1" bestFit="1" customWidth="1"/>
    <col min="3" max="3" width="11.140625" style="1" customWidth="1"/>
    <col min="4" max="4" width="8.7109375" style="1"/>
    <col min="5" max="5" width="11.5703125" style="1" bestFit="1" customWidth="1"/>
    <col min="6" max="6" width="8.7109375" style="1"/>
    <col min="7" max="7" width="12" style="1" bestFit="1" customWidth="1"/>
    <col min="8" max="8" width="8.7109375" style="1"/>
    <col min="9" max="9" width="12.85546875" style="1" bestFit="1" customWidth="1"/>
    <col min="10" max="10" width="12.7109375" style="1" bestFit="1" customWidth="1"/>
    <col min="11" max="11" width="11.28515625" style="1" bestFit="1" customWidth="1"/>
    <col min="12" max="13" width="15.42578125" style="1" bestFit="1" customWidth="1"/>
    <col min="14" max="14" width="9.5703125" style="1" bestFit="1" customWidth="1"/>
    <col min="15" max="15" width="9.5703125" style="1" customWidth="1"/>
    <col min="16" max="16" width="9" style="1" bestFit="1" customWidth="1"/>
    <col min="17" max="17" width="13.85546875" style="1" bestFit="1" customWidth="1"/>
    <col min="18" max="18" width="12.85546875" style="1" bestFit="1" customWidth="1"/>
    <col min="19" max="19" width="12.85546875" style="1" customWidth="1"/>
    <col min="20" max="20" width="8.7109375" style="1"/>
    <col min="21" max="22" width="12.85546875" style="1" bestFit="1" customWidth="1"/>
    <col min="23" max="23" width="8.7109375" style="1"/>
    <col min="24" max="24" width="17.28515625" style="1" bestFit="1" customWidth="1"/>
    <col min="25" max="26" width="12.85546875" style="1" bestFit="1" customWidth="1"/>
    <col min="27" max="27" width="10.140625" style="1" bestFit="1" customWidth="1"/>
    <col min="28" max="28" width="8.85546875" style="1" bestFit="1" customWidth="1"/>
    <col min="29" max="29" width="9.42578125" style="1" bestFit="1" customWidth="1"/>
    <col min="30" max="31" width="10.42578125" style="1" bestFit="1" customWidth="1"/>
    <col min="32" max="32" width="10.7109375" style="1" bestFit="1" customWidth="1"/>
    <col min="33" max="33" width="10.140625" style="1" bestFit="1" customWidth="1"/>
    <col min="34" max="34" width="10.42578125" style="1" bestFit="1" customWidth="1"/>
    <col min="35" max="35" width="8.7109375" style="1"/>
    <col min="36" max="36" width="11.85546875" style="1" bestFit="1" customWidth="1"/>
    <col min="37" max="37" width="10.42578125" style="1" bestFit="1" customWidth="1"/>
    <col min="38" max="38" width="8.7109375" style="1"/>
    <col min="39" max="39" width="11.85546875" style="1" bestFit="1" customWidth="1"/>
    <col min="40" max="40" width="10.42578125" style="1" bestFit="1" customWidth="1"/>
    <col min="41" max="42" width="8.7109375" style="1"/>
    <col min="43" max="43" width="10.140625" style="1" bestFit="1" customWidth="1"/>
    <col min="44" max="16384" width="8.7109375" style="1"/>
  </cols>
  <sheetData>
    <row r="2" spans="1:43" ht="16.5" x14ac:dyDescent="0.3">
      <c r="B2" s="128" t="s">
        <v>45</v>
      </c>
      <c r="C2" s="129"/>
    </row>
    <row r="3" spans="1:43" ht="16.5" x14ac:dyDescent="0.3">
      <c r="B3" s="5" t="s">
        <v>46</v>
      </c>
      <c r="C3" s="6">
        <v>170</v>
      </c>
    </row>
    <row r="4" spans="1:43" ht="15" x14ac:dyDescent="0.25">
      <c r="G4" s="128" t="s">
        <v>47</v>
      </c>
      <c r="H4" s="130"/>
      <c r="I4" s="130"/>
      <c r="J4" s="130"/>
      <c r="K4" s="130"/>
      <c r="L4" s="130"/>
      <c r="M4" s="129"/>
      <c r="N4" s="128" t="s">
        <v>48</v>
      </c>
      <c r="O4" s="130"/>
      <c r="P4" s="130"/>
      <c r="Q4" s="129"/>
      <c r="R4" s="128" t="s">
        <v>49</v>
      </c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29"/>
      <c r="AF4" s="128" t="s">
        <v>50</v>
      </c>
      <c r="AG4" s="130"/>
      <c r="AH4" s="129"/>
      <c r="AI4" s="128" t="s">
        <v>51</v>
      </c>
      <c r="AJ4" s="130"/>
      <c r="AK4" s="129"/>
      <c r="AL4" s="128" t="s">
        <v>52</v>
      </c>
      <c r="AM4" s="130"/>
      <c r="AN4" s="129"/>
      <c r="AO4" s="128" t="s">
        <v>53</v>
      </c>
      <c r="AP4" s="130"/>
      <c r="AQ4" s="129"/>
    </row>
    <row r="5" spans="1:43" s="2" customFormat="1" ht="15" x14ac:dyDescent="0.25">
      <c r="A5" s="1"/>
      <c r="B5" s="128" t="s">
        <v>54</v>
      </c>
      <c r="C5" s="129"/>
      <c r="D5" s="1"/>
      <c r="E5" s="43" t="s">
        <v>55</v>
      </c>
      <c r="F5" s="44" t="s">
        <v>56</v>
      </c>
      <c r="G5" s="40"/>
      <c r="H5" s="41"/>
      <c r="I5" s="41"/>
      <c r="J5" s="40" t="s">
        <v>57</v>
      </c>
      <c r="K5" s="41"/>
      <c r="L5" s="41"/>
      <c r="M5" s="42"/>
      <c r="N5" s="43"/>
      <c r="O5" s="40"/>
      <c r="P5" s="40" t="s">
        <v>58</v>
      </c>
      <c r="Q5" s="44"/>
      <c r="R5" s="43"/>
      <c r="S5" s="40"/>
      <c r="T5" s="41"/>
      <c r="U5" s="41"/>
      <c r="V5" s="40" t="s">
        <v>57</v>
      </c>
      <c r="W5" s="41"/>
      <c r="X5" s="41"/>
      <c r="Y5" s="40"/>
      <c r="Z5" s="40"/>
      <c r="AA5" s="40"/>
      <c r="AB5" s="40"/>
      <c r="AC5" s="40"/>
      <c r="AD5" s="40"/>
      <c r="AE5" s="40"/>
      <c r="AF5" s="43"/>
      <c r="AG5" s="40"/>
      <c r="AH5" s="44"/>
      <c r="AI5" s="43"/>
      <c r="AJ5" s="40"/>
      <c r="AK5" s="44"/>
      <c r="AL5" s="43"/>
      <c r="AM5" s="40"/>
      <c r="AN5" s="44"/>
      <c r="AO5" s="43"/>
      <c r="AP5" s="40"/>
      <c r="AQ5" s="44"/>
    </row>
    <row r="6" spans="1:43" s="2" customFormat="1" ht="15" x14ac:dyDescent="0.25">
      <c r="A6" s="1"/>
      <c r="B6" s="3" t="s">
        <v>59</v>
      </c>
      <c r="C6" s="4">
        <v>0.95177306033937703</v>
      </c>
      <c r="D6" s="1"/>
      <c r="E6" s="48" t="s">
        <v>3</v>
      </c>
      <c r="F6" s="47" t="s">
        <v>60</v>
      </c>
      <c r="G6" s="45" t="s">
        <v>61</v>
      </c>
      <c r="H6" s="45"/>
      <c r="I6" s="45" t="s">
        <v>56</v>
      </c>
      <c r="J6" s="45" t="s">
        <v>62</v>
      </c>
      <c r="K6" s="46"/>
      <c r="L6" s="45" t="s">
        <v>56</v>
      </c>
      <c r="M6" s="47" t="s">
        <v>63</v>
      </c>
      <c r="N6" s="48" t="s">
        <v>64</v>
      </c>
      <c r="O6" s="45" t="s">
        <v>56</v>
      </c>
      <c r="P6" s="45" t="s">
        <v>60</v>
      </c>
      <c r="Q6" s="47" t="s">
        <v>58</v>
      </c>
      <c r="R6" s="48" t="s">
        <v>65</v>
      </c>
      <c r="S6" s="45" t="s">
        <v>56</v>
      </c>
      <c r="T6" s="45"/>
      <c r="U6" s="45" t="s">
        <v>56</v>
      </c>
      <c r="V6" s="45" t="s">
        <v>62</v>
      </c>
      <c r="W6" s="46"/>
      <c r="X6" s="45" t="s">
        <v>56</v>
      </c>
      <c r="Y6" s="45" t="s">
        <v>66</v>
      </c>
      <c r="Z6" s="45" t="s">
        <v>67</v>
      </c>
      <c r="AA6" s="49"/>
      <c r="AB6" s="50" t="s">
        <v>68</v>
      </c>
      <c r="AC6" s="51">
        <f>SQRT(SUMSQ(AA9:AA31))</f>
        <v>3.9671481811278146E-6</v>
      </c>
      <c r="AD6" s="46"/>
      <c r="AE6" s="46"/>
      <c r="AF6" s="48" t="s">
        <v>56</v>
      </c>
      <c r="AG6" s="45" t="s">
        <v>64</v>
      </c>
      <c r="AH6" s="47" t="s">
        <v>65</v>
      </c>
      <c r="AI6" s="48" t="s">
        <v>56</v>
      </c>
      <c r="AJ6" s="45" t="s">
        <v>64</v>
      </c>
      <c r="AK6" s="47" t="s">
        <v>65</v>
      </c>
      <c r="AL6" s="48" t="s">
        <v>56</v>
      </c>
      <c r="AM6" s="45" t="s">
        <v>64</v>
      </c>
      <c r="AN6" s="47" t="s">
        <v>65</v>
      </c>
      <c r="AO6" s="48" t="s">
        <v>56</v>
      </c>
      <c r="AP6" s="45" t="s">
        <v>64</v>
      </c>
      <c r="AQ6" s="47" t="s">
        <v>65</v>
      </c>
    </row>
    <row r="7" spans="1:43" s="2" customFormat="1" ht="15" x14ac:dyDescent="0.25">
      <c r="A7" s="1"/>
      <c r="B7" s="5" t="s">
        <v>69</v>
      </c>
      <c r="C7" s="6">
        <v>45.456230918778701</v>
      </c>
      <c r="D7" s="1"/>
      <c r="E7" s="48" t="s">
        <v>5</v>
      </c>
      <c r="F7" s="47" t="s">
        <v>70</v>
      </c>
      <c r="G7" s="45" t="s">
        <v>71</v>
      </c>
      <c r="H7" s="45"/>
      <c r="I7" s="45" t="s">
        <v>72</v>
      </c>
      <c r="J7" s="45" t="s">
        <v>73</v>
      </c>
      <c r="K7" s="46"/>
      <c r="L7" s="45" t="s">
        <v>74</v>
      </c>
      <c r="M7" s="47" t="s">
        <v>74</v>
      </c>
      <c r="N7" s="48" t="s">
        <v>75</v>
      </c>
      <c r="O7" s="45" t="s">
        <v>76</v>
      </c>
      <c r="P7" s="45" t="s">
        <v>70</v>
      </c>
      <c r="Q7" s="47" t="s">
        <v>71</v>
      </c>
      <c r="R7" s="48" t="s">
        <v>77</v>
      </c>
      <c r="S7" s="45" t="s">
        <v>76</v>
      </c>
      <c r="T7" s="45"/>
      <c r="U7" s="45" t="s">
        <v>72</v>
      </c>
      <c r="V7" s="45" t="s">
        <v>73</v>
      </c>
      <c r="W7" s="46"/>
      <c r="X7" s="45" t="s">
        <v>74</v>
      </c>
      <c r="Y7" s="45" t="s">
        <v>78</v>
      </c>
      <c r="Z7" s="45" t="s">
        <v>78</v>
      </c>
      <c r="AA7" s="46"/>
      <c r="AB7" s="46"/>
      <c r="AC7" s="46"/>
      <c r="AD7" s="46"/>
      <c r="AE7" s="46"/>
      <c r="AF7" s="48" t="s">
        <v>76</v>
      </c>
      <c r="AG7" s="45" t="s">
        <v>75</v>
      </c>
      <c r="AH7" s="47" t="s">
        <v>77</v>
      </c>
      <c r="AI7" s="48" t="s">
        <v>76</v>
      </c>
      <c r="AJ7" s="45" t="s">
        <v>75</v>
      </c>
      <c r="AK7" s="47" t="s">
        <v>77</v>
      </c>
      <c r="AL7" s="48" t="s">
        <v>76</v>
      </c>
      <c r="AM7" s="45" t="s">
        <v>75</v>
      </c>
      <c r="AN7" s="47" t="s">
        <v>77</v>
      </c>
      <c r="AO7" s="48" t="s">
        <v>76</v>
      </c>
      <c r="AP7" s="45" t="s">
        <v>75</v>
      </c>
      <c r="AQ7" s="47" t="s">
        <v>77</v>
      </c>
    </row>
    <row r="8" spans="1:43" s="2" customFormat="1" ht="18" x14ac:dyDescent="0.35">
      <c r="A8" s="1"/>
      <c r="B8" s="1"/>
      <c r="C8" s="1"/>
      <c r="D8" s="1"/>
      <c r="E8" s="48"/>
      <c r="F8" s="72" t="s">
        <v>79</v>
      </c>
      <c r="G8" s="52" t="s">
        <v>80</v>
      </c>
      <c r="H8" s="53" t="s">
        <v>81</v>
      </c>
      <c r="I8" s="52" t="s">
        <v>82</v>
      </c>
      <c r="J8" s="52" t="s">
        <v>83</v>
      </c>
      <c r="K8" s="53" t="s">
        <v>84</v>
      </c>
      <c r="L8" s="52" t="s">
        <v>85</v>
      </c>
      <c r="M8" s="54" t="s">
        <v>86</v>
      </c>
      <c r="N8" s="55" t="s">
        <v>87</v>
      </c>
      <c r="O8" s="52" t="s">
        <v>88</v>
      </c>
      <c r="P8" s="56" t="s">
        <v>89</v>
      </c>
      <c r="Q8" s="54" t="s">
        <v>90</v>
      </c>
      <c r="R8" s="57" t="s">
        <v>91</v>
      </c>
      <c r="S8" s="52" t="s">
        <v>88</v>
      </c>
      <c r="T8" s="53" t="s">
        <v>81</v>
      </c>
      <c r="U8" s="52" t="s">
        <v>82</v>
      </c>
      <c r="V8" s="52" t="s">
        <v>83</v>
      </c>
      <c r="W8" s="53" t="s">
        <v>84</v>
      </c>
      <c r="X8" s="52" t="s">
        <v>85</v>
      </c>
      <c r="Y8" s="53" t="s">
        <v>92</v>
      </c>
      <c r="Z8" s="52" t="s">
        <v>93</v>
      </c>
      <c r="AA8" s="52" t="s">
        <v>94</v>
      </c>
      <c r="AB8" s="52" t="s">
        <v>95</v>
      </c>
      <c r="AC8" s="52" t="s">
        <v>96</v>
      </c>
      <c r="AD8" s="53" t="s">
        <v>97</v>
      </c>
      <c r="AE8" s="53" t="s">
        <v>98</v>
      </c>
      <c r="AF8" s="57" t="s">
        <v>88</v>
      </c>
      <c r="AG8" s="52" t="s">
        <v>87</v>
      </c>
      <c r="AH8" s="54" t="s">
        <v>91</v>
      </c>
      <c r="AI8" s="57" t="s">
        <v>88</v>
      </c>
      <c r="AJ8" s="52" t="s">
        <v>87</v>
      </c>
      <c r="AK8" s="54" t="s">
        <v>91</v>
      </c>
      <c r="AL8" s="57" t="s">
        <v>88</v>
      </c>
      <c r="AM8" s="52" t="s">
        <v>87</v>
      </c>
      <c r="AN8" s="54" t="s">
        <v>91</v>
      </c>
      <c r="AO8" s="57" t="s">
        <v>88</v>
      </c>
      <c r="AP8" s="52" t="s">
        <v>87</v>
      </c>
      <c r="AQ8" s="54" t="s">
        <v>91</v>
      </c>
    </row>
    <row r="9" spans="1:43" ht="18.75" x14ac:dyDescent="0.35">
      <c r="B9" s="9" t="s">
        <v>99</v>
      </c>
      <c r="C9" s="10">
        <v>12.010999999999999</v>
      </c>
      <c r="E9" s="9" t="str">
        <f>_xlfn.CONCAT("C",F9)</f>
        <v>C7</v>
      </c>
      <c r="F9" s="16">
        <v>7</v>
      </c>
      <c r="G9" s="18">
        <f>$F9*$C$12+$C$11</f>
        <v>100.20403999999998</v>
      </c>
      <c r="H9" s="17">
        <f>LN(G9)</f>
        <v>4.6072085071992381</v>
      </c>
      <c r="I9" s="18">
        <f>EXP(5.71419+2.71579*H9-0.28659*H9^2-39.8544*H9^-1-0.122488*H9^-2)-24.7522*H9+35.3155*H9^2</f>
        <v>668.26647379856479</v>
      </c>
      <c r="J9" s="18">
        <f>I9*(0.533272+0.000191017*I9+0.0000000779681*I9^2-0.0000000000284376*I9^3+95.9468/(0.01*I9)^13)^-1</f>
        <v>972.37118911059304</v>
      </c>
      <c r="K9" s="15">
        <f>1-I9/J9</f>
        <v>0.31274550163316361</v>
      </c>
      <c r="L9" s="19">
        <f>0.843593-0.128624*K9-3.36159*K9^3-13749.5*K9^12</f>
        <v>0.68849816229704286</v>
      </c>
      <c r="M9" s="20">
        <f>G9/($C$7+$C$6*G9)</f>
        <v>0.711536252219794</v>
      </c>
      <c r="N9" s="30">
        <f>0.7*(M9-L9)/(0.2456-1.77/G9)</f>
        <v>7.0750824823095498E-2</v>
      </c>
      <c r="O9" s="19">
        <f>Q9-G9</f>
        <v>-0.9924133296945854</v>
      </c>
      <c r="P9" s="31">
        <f>(Q9-$C$11)/$C$12</f>
        <v>6.9292491751769036</v>
      </c>
      <c r="Q9" s="32">
        <f>G9-N9*$C$12</f>
        <v>99.211626670305392</v>
      </c>
      <c r="R9" s="38">
        <v>98.706264293216577</v>
      </c>
      <c r="S9" s="59">
        <f>R9-G9</f>
        <v>-1.4977757067834006</v>
      </c>
      <c r="T9" s="17">
        <f>LN(Q9)</f>
        <v>4.5972552117606913</v>
      </c>
      <c r="U9" s="18">
        <f>EXP(5.71419+2.71579*T9-0.28659*T9^2-39.8544*T9^-1-0.122488*T9^-2)-24.7522*T9+35.3155*T9^2</f>
        <v>664.64530778551739</v>
      </c>
      <c r="V9" s="59">
        <f>U9*(0.533272+0.000191017*U9+0.0000000779681*U9^2-0.0000000000284376*U9^3+95.9468/(0.01*U9)^13)^-1</f>
        <v>968.41377424612369</v>
      </c>
      <c r="W9" s="19">
        <f>1-U9/V9</f>
        <v>0.3136763174368099</v>
      </c>
      <c r="X9" s="19">
        <f>0.843593-0.128624*W9-3.36159*W9^3-13749.5*W9^12</f>
        <v>0.6870204811825088</v>
      </c>
      <c r="Y9" s="17">
        <f>LN(R9)</f>
        <v>4.592148412441805</v>
      </c>
      <c r="Z9" s="17">
        <f>T9*((1+2*AE9)/(1-2*AE9))^2</f>
        <v>4.5921494628943416</v>
      </c>
      <c r="AA9" s="60">
        <f>Y9-Z9</f>
        <v>-1.0504525365107042E-6</v>
      </c>
      <c r="AB9" s="19">
        <f>R9/($C$7+$C$6*R9)</f>
        <v>0.70806822581333762</v>
      </c>
      <c r="AC9" s="19">
        <f>EXP(5*(X9-AB9))-1</f>
        <v>-9.9890380071378737E-2</v>
      </c>
      <c r="AD9" s="61">
        <f>ABS(0.012342-0.328086/(U9^0.5))</f>
        <v>3.8402368339615633E-4</v>
      </c>
      <c r="AE9" s="62">
        <f>AC9*(AD9+(-0.0175691+0.193168/(U9^0.5))*AC9)</f>
        <v>-1.3890315643826052E-4</v>
      </c>
      <c r="AF9" s="112">
        <v>-4</v>
      </c>
      <c r="AG9" s="79">
        <f>($C$11-AF9)/$C$12</f>
        <v>0.42888226034585031</v>
      </c>
      <c r="AH9" s="32">
        <f>$C$12*F9+AF9</f>
        <v>94.188159999999982</v>
      </c>
      <c r="AI9" s="118">
        <f>AK9-G9</f>
        <v>-4.2040399999999778</v>
      </c>
      <c r="AJ9" s="15">
        <f t="shared" ref="AJ9:AJ15" si="0">($C$11-AI9)/$C$12</f>
        <v>0.44342861705525238</v>
      </c>
      <c r="AK9" s="115">
        <v>96</v>
      </c>
      <c r="AL9" s="118">
        <v>-4.2040399999999778</v>
      </c>
      <c r="AM9" s="15">
        <f>($C$11-AL9)/$C$12</f>
        <v>0.44342861705525238</v>
      </c>
      <c r="AN9" s="115">
        <v>96</v>
      </c>
      <c r="AO9" s="118">
        <v>-4.2040399999999778</v>
      </c>
      <c r="AP9" s="15">
        <f>($C$11-AO9)/$C$12</f>
        <v>0.44342861705525238</v>
      </c>
      <c r="AQ9" s="115">
        <v>99.34373021190649</v>
      </c>
    </row>
    <row r="10" spans="1:43" ht="18.75" x14ac:dyDescent="0.35">
      <c r="B10" s="11" t="s">
        <v>100</v>
      </c>
      <c r="C10" s="12">
        <v>1.0079400000000001</v>
      </c>
      <c r="E10" s="11" t="str">
        <f t="shared" ref="E10:E32" si="1">_xlfn.CONCAT("C",F10)</f>
        <v>C8</v>
      </c>
      <c r="F10" s="13">
        <v>8</v>
      </c>
      <c r="G10" s="22">
        <f t="shared" ref="G10:G31" si="2">$F10*$C$12+$C$11</f>
        <v>114.23091999999998</v>
      </c>
      <c r="H10" s="21">
        <f t="shared" ref="H10:H31" si="3">LN(G10)</f>
        <v>4.738222013639712</v>
      </c>
      <c r="I10" s="22">
        <f t="shared" ref="I10:I31" si="4">EXP(5.71419+2.71579*H10-0.28659*H10^2-39.8544*H10^-1-0.122488*H10^-2)-24.7522*H10+35.3155*H10^2</f>
        <v>717.31270914910442</v>
      </c>
      <c r="J10" s="22">
        <f t="shared" ref="J10:J31" si="5">I10*(0.533272+0.000191017*I10+0.0000000779681*I10^2-0.0000000000284376*I10^3+95.9468/(0.01*I10)^13)^-1</f>
        <v>1024.8604559443218</v>
      </c>
      <c r="K10" s="1">
        <f t="shared" ref="K10:K31" si="6">1-I10/J10</f>
        <v>0.30008743630549994</v>
      </c>
      <c r="L10" s="23">
        <f t="shared" ref="L10:L31" si="7">0.843593-0.128624*K10-3.36159*K10^3-13749.5*K10^12</f>
        <v>0.70681959562089258</v>
      </c>
      <c r="M10" s="24">
        <f t="shared" ref="M10:M31" si="8">G10/($C$7+$C$6*G10)</f>
        <v>0.74090216424318234</v>
      </c>
      <c r="N10" s="33">
        <f t="shared" ref="N10:N18" si="9">0.7*(M10-L10)/(0.2456-1.77/G10)</f>
        <v>0.10368219151561787</v>
      </c>
      <c r="O10" s="23">
        <f t="shared" ref="O10:O31" si="10">Q10-G10</f>
        <v>-1.4543376585265833</v>
      </c>
      <c r="P10" s="14">
        <f t="shared" ref="P10:P31" si="11">(Q10-$C$11)/$C$12</f>
        <v>7.8963178084843824</v>
      </c>
      <c r="Q10" s="34">
        <f t="shared" ref="Q10:Q30" si="12">G10-N10*$C$12</f>
        <v>112.7765823414734</v>
      </c>
      <c r="R10" s="37">
        <v>111.83504032455491</v>
      </c>
      <c r="S10" s="63">
        <f t="shared" ref="S10:S30" si="13">R10-G10</f>
        <v>-2.3958796754450731</v>
      </c>
      <c r="T10" s="21">
        <f t="shared" ref="T10:T31" si="14">LN(Q10)</f>
        <v>4.7254087141556669</v>
      </c>
      <c r="U10" s="22">
        <f t="shared" ref="U10:U31" si="15">EXP(5.71419+2.71579*T10-0.28659*T10^2-39.8544*T10^-1-0.122488*T10^-2)-24.7522*T10+35.3155*T10^2</f>
        <v>712.40330007952412</v>
      </c>
      <c r="V10" s="63">
        <f t="shared" ref="V10:V31" si="16">U10*(0.533272+0.000191017*U10+0.0000000779681*U10^2-0.0000000000284376*U10^3+95.9468/(0.01*U10)^13)^-1</f>
        <v>1019.6978617821484</v>
      </c>
      <c r="W10" s="23">
        <f t="shared" ref="W10:W31" si="17">1-U10/V10</f>
        <v>0.30135844471180784</v>
      </c>
      <c r="X10" s="23">
        <f t="shared" ref="X10:X31" si="18">0.843593-0.128624*W10-3.36159*W10^3-13749.5*W10^12</f>
        <v>0.70511544963658357</v>
      </c>
      <c r="Y10" s="21">
        <f t="shared" ref="Y10:Y31" si="19">LN(R10)</f>
        <v>4.7170249313340369</v>
      </c>
      <c r="Z10" s="21">
        <f t="shared" ref="Z10:Z31" si="20">T10*((1+2*AE10)/(1-2*AE10))^2</f>
        <v>4.7170259772573759</v>
      </c>
      <c r="AA10" s="64">
        <f t="shared" ref="AA10:AA31" si="21">Y10-Z10</f>
        <v>-1.0459233390491818E-6</v>
      </c>
      <c r="AB10" s="23">
        <f t="shared" ref="AB10:AB30" si="22">R10/($C$7+$C$6*R10)</f>
        <v>0.73625183069762601</v>
      </c>
      <c r="AC10" s="23">
        <f t="shared" ref="AC10:AC31" si="23">EXP(5*(X10-AB10))-1</f>
        <v>-0.14416861750030663</v>
      </c>
      <c r="AD10" s="65">
        <f t="shared" ref="AD10:AD31" si="24">ABS(0.012342-0.328086/(U10^0.5))</f>
        <v>4.9938134233174294E-5</v>
      </c>
      <c r="AE10" s="66">
        <f t="shared" ref="AE10:AE31" si="25">AC10*(AD10+(-0.0175691+0.193168/(U10^0.5))*AC10)</f>
        <v>-2.2194324938270844E-4</v>
      </c>
      <c r="AF10" s="113">
        <v>-4</v>
      </c>
      <c r="AG10" s="80">
        <f t="shared" ref="AG10:AG31" si="26">($C$11-AF10)/$C$12</f>
        <v>0.42888226034585031</v>
      </c>
      <c r="AH10" s="34">
        <f t="shared" ref="AH10:AH31" si="27">$C$12*F10+AF10</f>
        <v>108.21503999999999</v>
      </c>
      <c r="AI10" s="119">
        <f t="shared" ref="AI10:AI31" si="28">AK10-G10</f>
        <v>-7.2309199999999834</v>
      </c>
      <c r="AJ10" s="1">
        <f t="shared" si="0"/>
        <v>0.65922001186293633</v>
      </c>
      <c r="AK10" s="116">
        <v>107</v>
      </c>
      <c r="AL10" s="119">
        <v>-4.2040399999999778</v>
      </c>
      <c r="AM10" s="1">
        <f t="shared" ref="AM10:AM31" si="29">($C$11-AL10)/$C$12</f>
        <v>0.44342861705525238</v>
      </c>
      <c r="AN10" s="116">
        <v>107</v>
      </c>
      <c r="AO10" s="119">
        <v>-4.2040399999999778</v>
      </c>
      <c r="AP10" s="1">
        <f t="shared" ref="AP10:AP31" si="30">($C$11-AO10)/$C$12</f>
        <v>0.44342861705525238</v>
      </c>
      <c r="AQ10" s="116">
        <v>106.74515424446749</v>
      </c>
    </row>
    <row r="11" spans="1:43" ht="18.75" x14ac:dyDescent="0.35">
      <c r="B11" s="11" t="s">
        <v>101</v>
      </c>
      <c r="C11" s="13">
        <f>C10*2</f>
        <v>2.0158800000000001</v>
      </c>
      <c r="E11" s="11" t="str">
        <f t="shared" si="1"/>
        <v>C9</v>
      </c>
      <c r="F11" s="13">
        <v>9</v>
      </c>
      <c r="G11" s="22">
        <f t="shared" si="2"/>
        <v>128.2578</v>
      </c>
      <c r="H11" s="21">
        <f t="shared" si="3"/>
        <v>4.854042300914946</v>
      </c>
      <c r="I11" s="22">
        <f t="shared" si="4"/>
        <v>762.77339612355308</v>
      </c>
      <c r="J11" s="22">
        <f t="shared" si="5"/>
        <v>1071.7358013140106</v>
      </c>
      <c r="K11" s="1">
        <f t="shared" si="6"/>
        <v>0.28828224718410222</v>
      </c>
      <c r="L11" s="23">
        <f t="shared" si="7"/>
        <v>0.72144539313259781</v>
      </c>
      <c r="M11" s="24">
        <f t="shared" si="8"/>
        <v>0.76558771744407761</v>
      </c>
      <c r="N11" s="33">
        <f t="shared" si="9"/>
        <v>0.13330315377211607</v>
      </c>
      <c r="O11" s="23">
        <f t="shared" si="10"/>
        <v>-1.8698273415830187</v>
      </c>
      <c r="P11" s="14">
        <f t="shared" si="11"/>
        <v>8.8666968462278852</v>
      </c>
      <c r="Q11" s="34">
        <f t="shared" si="12"/>
        <v>126.38797265841698</v>
      </c>
      <c r="R11" s="37">
        <v>124.38332249672193</v>
      </c>
      <c r="S11" s="63">
        <f t="shared" si="13"/>
        <v>-3.8744775032780723</v>
      </c>
      <c r="T11" s="21">
        <f t="shared" si="14"/>
        <v>4.8393563241665687</v>
      </c>
      <c r="U11" s="22">
        <f t="shared" si="15"/>
        <v>756.9024683815469</v>
      </c>
      <c r="V11" s="63">
        <f t="shared" si="16"/>
        <v>1065.7748181061402</v>
      </c>
      <c r="W11" s="23">
        <f t="shared" si="17"/>
        <v>0.28981014045110676</v>
      </c>
      <c r="X11" s="23">
        <f t="shared" si="18"/>
        <v>0.71966486725969447</v>
      </c>
      <c r="Y11" s="21">
        <f t="shared" si="19"/>
        <v>4.8233681077865862</v>
      </c>
      <c r="Z11" s="21">
        <f t="shared" si="20"/>
        <v>4.8233705990937077</v>
      </c>
      <c r="AA11" s="64">
        <f t="shared" si="21"/>
        <v>-2.4913071214882621E-6</v>
      </c>
      <c r="AB11" s="23">
        <f t="shared" si="22"/>
        <v>0.75917125964492727</v>
      </c>
      <c r="AC11" s="23">
        <f t="shared" si="23"/>
        <v>-0.1792460926672913</v>
      </c>
      <c r="AD11" s="65">
        <f t="shared" si="24"/>
        <v>4.1674325647776331E-4</v>
      </c>
      <c r="AE11" s="66">
        <f t="shared" si="25"/>
        <v>-4.1359277090783817E-4</v>
      </c>
      <c r="AF11" s="113">
        <v>-4</v>
      </c>
      <c r="AG11" s="80">
        <f t="shared" si="26"/>
        <v>0.42888226034585031</v>
      </c>
      <c r="AH11" s="34">
        <f t="shared" si="27"/>
        <v>122.24191999999999</v>
      </c>
      <c r="AI11" s="119">
        <f t="shared" si="28"/>
        <v>-7.2578000000000031</v>
      </c>
      <c r="AJ11" s="1">
        <f t="shared" si="0"/>
        <v>0.66113633252726223</v>
      </c>
      <c r="AK11" s="116">
        <v>121</v>
      </c>
      <c r="AL11" s="119">
        <v>-4.2040399999999778</v>
      </c>
      <c r="AM11" s="1">
        <f t="shared" si="29"/>
        <v>0.44342861705525238</v>
      </c>
      <c r="AN11" s="116">
        <v>121</v>
      </c>
      <c r="AO11" s="119">
        <v>-4.2040399999999778</v>
      </c>
      <c r="AP11" s="1">
        <f t="shared" si="30"/>
        <v>0.44342861705525238</v>
      </c>
      <c r="AQ11" s="116">
        <v>119.95926123068057</v>
      </c>
    </row>
    <row r="12" spans="1:43" ht="18.75" x14ac:dyDescent="0.35">
      <c r="B12" s="7" t="s">
        <v>102</v>
      </c>
      <c r="C12" s="8">
        <f>C9+C11</f>
        <v>14.026879999999998</v>
      </c>
      <c r="E12" s="11" t="str">
        <f t="shared" si="1"/>
        <v>C10</v>
      </c>
      <c r="F12" s="13">
        <v>10</v>
      </c>
      <c r="G12" s="22">
        <f t="shared" si="2"/>
        <v>142.28468000000001</v>
      </c>
      <c r="H12" s="21">
        <f t="shared" si="3"/>
        <v>4.9578298394265596</v>
      </c>
      <c r="I12" s="22">
        <f t="shared" si="4"/>
        <v>805.1131905755866</v>
      </c>
      <c r="J12" s="22">
        <f t="shared" si="5"/>
        <v>1113.9414589354255</v>
      </c>
      <c r="K12" s="1">
        <f t="shared" si="6"/>
        <v>0.27723922642665688</v>
      </c>
      <c r="L12" s="23">
        <f t="shared" si="7"/>
        <v>0.73346616653303698</v>
      </c>
      <c r="M12" s="24">
        <f t="shared" si="8"/>
        <v>0.7866292627750614</v>
      </c>
      <c r="N12" s="33">
        <f t="shared" si="9"/>
        <v>0.15960775151159196</v>
      </c>
      <c r="O12" s="23">
        <f t="shared" si="10"/>
        <v>-2.2387987775229305</v>
      </c>
      <c r="P12" s="14">
        <f t="shared" si="11"/>
        <v>9.8403922484884081</v>
      </c>
      <c r="Q12" s="34">
        <f t="shared" si="12"/>
        <v>140.04588122247708</v>
      </c>
      <c r="R12" s="37">
        <v>136.65484090515173</v>
      </c>
      <c r="S12" s="63">
        <f t="shared" si="13"/>
        <v>-5.629839094848279</v>
      </c>
      <c r="T12" s="21">
        <f t="shared" si="14"/>
        <v>4.9419700919375398</v>
      </c>
      <c r="U12" s="22">
        <f t="shared" si="15"/>
        <v>798.54903575921162</v>
      </c>
      <c r="V12" s="63">
        <f t="shared" si="16"/>
        <v>1107.4866259702499</v>
      </c>
      <c r="W12" s="23">
        <f t="shared" si="17"/>
        <v>0.27895378866573972</v>
      </c>
      <c r="X12" s="23">
        <f t="shared" si="18"/>
        <v>0.73169069073107718</v>
      </c>
      <c r="Y12" s="21">
        <f t="shared" si="19"/>
        <v>4.9174583373240059</v>
      </c>
      <c r="Z12" s="21">
        <f t="shared" si="20"/>
        <v>4.9174585694592832</v>
      </c>
      <c r="AA12" s="64">
        <f t="shared" si="21"/>
        <v>-2.3213527722276694E-7</v>
      </c>
      <c r="AB12" s="23">
        <f t="shared" si="22"/>
        <v>0.77856855456975149</v>
      </c>
      <c r="AC12" s="23">
        <f t="shared" si="23"/>
        <v>-0.20894621648289646</v>
      </c>
      <c r="AD12" s="65">
        <f t="shared" si="24"/>
        <v>7.3187477823997635E-4</v>
      </c>
      <c r="AE12" s="66">
        <f t="shared" si="25"/>
        <v>-6.2152588133442183E-4</v>
      </c>
      <c r="AF12" s="113">
        <v>-4</v>
      </c>
      <c r="AG12" s="80">
        <f t="shared" si="26"/>
        <v>0.42888226034585031</v>
      </c>
      <c r="AH12" s="34">
        <f t="shared" si="27"/>
        <v>136.2688</v>
      </c>
      <c r="AI12" s="119">
        <f t="shared" si="28"/>
        <v>-8.2846800000000087</v>
      </c>
      <c r="AJ12" s="1">
        <f t="shared" si="0"/>
        <v>0.73434434457270681</v>
      </c>
      <c r="AK12" s="116">
        <v>134</v>
      </c>
      <c r="AL12" s="119">
        <v>-4.2040399999999778</v>
      </c>
      <c r="AM12" s="1">
        <f t="shared" si="29"/>
        <v>0.44342861705525238</v>
      </c>
      <c r="AN12" s="116">
        <v>134</v>
      </c>
      <c r="AO12" s="119">
        <v>-4.2040399999999778</v>
      </c>
      <c r="AP12" s="1">
        <f t="shared" si="30"/>
        <v>0.44342861705525238</v>
      </c>
      <c r="AQ12" s="116">
        <v>135.61395807961924</v>
      </c>
    </row>
    <row r="13" spans="1:43" x14ac:dyDescent="0.2">
      <c r="E13" s="11" t="str">
        <f t="shared" si="1"/>
        <v>C11</v>
      </c>
      <c r="F13" s="13">
        <v>11</v>
      </c>
      <c r="G13" s="22">
        <f t="shared" si="2"/>
        <v>156.31155999999999</v>
      </c>
      <c r="H13" s="21">
        <f t="shared" si="3"/>
        <v>5.0518511950251934</v>
      </c>
      <c r="I13" s="22">
        <f t="shared" si="4"/>
        <v>844.69025883797224</v>
      </c>
      <c r="J13" s="22">
        <f t="shared" si="5"/>
        <v>1152.1956411890762</v>
      </c>
      <c r="K13" s="1">
        <f t="shared" si="6"/>
        <v>0.26688643087883557</v>
      </c>
      <c r="L13" s="23">
        <f t="shared" si="7"/>
        <v>0.7435659813023604</v>
      </c>
      <c r="M13" s="24">
        <f t="shared" si="8"/>
        <v>0.80477821576385988</v>
      </c>
      <c r="N13" s="33">
        <f t="shared" si="9"/>
        <v>0.18289743615961129</v>
      </c>
      <c r="O13" s="23">
        <f t="shared" si="10"/>
        <v>-2.5654803893185374</v>
      </c>
      <c r="P13" s="22">
        <f t="shared" si="11"/>
        <v>10.817102563840388</v>
      </c>
      <c r="Q13" s="34">
        <f t="shared" si="12"/>
        <v>153.74607961068145</v>
      </c>
      <c r="R13" s="37">
        <v>148.68455398345301</v>
      </c>
      <c r="S13" s="63">
        <f t="shared" si="13"/>
        <v>-7.6270060165469715</v>
      </c>
      <c r="T13" s="21">
        <f t="shared" si="14"/>
        <v>5.0353024078944228</v>
      </c>
      <c r="U13" s="22">
        <f t="shared" si="15"/>
        <v>837.64433968466312</v>
      </c>
      <c r="V13" s="63">
        <f t="shared" si="16"/>
        <v>1145.4670837826066</v>
      </c>
      <c r="W13" s="23">
        <f t="shared" si="17"/>
        <v>0.2687312000982508</v>
      </c>
      <c r="X13" s="23">
        <f t="shared" si="18"/>
        <v>0.74183964993463947</v>
      </c>
      <c r="Y13" s="21">
        <f t="shared" si="19"/>
        <v>5.0018269743886385</v>
      </c>
      <c r="Z13" s="21">
        <f t="shared" si="20"/>
        <v>5.0018276652092828</v>
      </c>
      <c r="AA13" s="64">
        <f t="shared" si="21"/>
        <v>-6.9082064424463852E-7</v>
      </c>
      <c r="AB13" s="23">
        <f t="shared" si="22"/>
        <v>0.79523136197950528</v>
      </c>
      <c r="AC13" s="23">
        <f t="shared" si="23"/>
        <v>-0.2342951985568702</v>
      </c>
      <c r="AD13" s="65">
        <f t="shared" si="24"/>
        <v>1.0060513589939379E-3</v>
      </c>
      <c r="AE13" s="66">
        <f t="shared" si="25"/>
        <v>-8.3377508125673271E-4</v>
      </c>
      <c r="AF13" s="113">
        <v>-4</v>
      </c>
      <c r="AG13" s="80">
        <f t="shared" si="26"/>
        <v>0.42888226034585031</v>
      </c>
      <c r="AH13" s="34">
        <f t="shared" si="27"/>
        <v>150.29567999999998</v>
      </c>
      <c r="AI13" s="119">
        <f t="shared" si="28"/>
        <v>-9.3115599999999858</v>
      </c>
      <c r="AJ13" s="1">
        <f t="shared" si="0"/>
        <v>0.80755235661814928</v>
      </c>
      <c r="AK13" s="116">
        <v>147</v>
      </c>
      <c r="AL13" s="119">
        <v>-4.2040399999999778</v>
      </c>
      <c r="AM13" s="1">
        <f t="shared" si="29"/>
        <v>0.44342861705525238</v>
      </c>
      <c r="AN13" s="116">
        <v>147</v>
      </c>
      <c r="AO13" s="119">
        <v>-4.2040399999999778</v>
      </c>
      <c r="AP13" s="1">
        <f t="shared" si="30"/>
        <v>0.44342861705525238</v>
      </c>
      <c r="AQ13" s="116">
        <v>151.38304235049711</v>
      </c>
    </row>
    <row r="14" spans="1:43" ht="15" x14ac:dyDescent="0.25">
      <c r="B14" s="128" t="s">
        <v>103</v>
      </c>
      <c r="C14" s="129"/>
      <c r="E14" s="11" t="str">
        <f t="shared" si="1"/>
        <v>C12</v>
      </c>
      <c r="F14" s="13">
        <v>12</v>
      </c>
      <c r="G14" s="22">
        <f t="shared" si="2"/>
        <v>170.33843999999999</v>
      </c>
      <c r="H14" s="21">
        <f t="shared" si="3"/>
        <v>5.1377872815167187</v>
      </c>
      <c r="I14" s="22">
        <f t="shared" si="4"/>
        <v>881.79351518899523</v>
      </c>
      <c r="J14" s="22">
        <f t="shared" si="5"/>
        <v>1187.0631151741241</v>
      </c>
      <c r="K14" s="1">
        <f t="shared" si="6"/>
        <v>0.25716374814691334</v>
      </c>
      <c r="L14" s="23">
        <f t="shared" si="7"/>
        <v>0.75219452683617172</v>
      </c>
      <c r="M14" s="24">
        <f t="shared" si="8"/>
        <v>0.8205926840299147</v>
      </c>
      <c r="N14" s="33">
        <f t="shared" si="9"/>
        <v>0.20355822223434158</v>
      </c>
      <c r="O14" s="23">
        <f t="shared" si="10"/>
        <v>-2.8552867562944471</v>
      </c>
      <c r="P14" s="22">
        <f t="shared" si="11"/>
        <v>11.796441777765658</v>
      </c>
      <c r="Q14" s="34">
        <f t="shared" si="12"/>
        <v>167.48315324370554</v>
      </c>
      <c r="R14" s="37">
        <v>160.50184458513201</v>
      </c>
      <c r="S14" s="63">
        <f t="shared" si="13"/>
        <v>-9.8365954148679862</v>
      </c>
      <c r="T14" s="21">
        <f t="shared" si="14"/>
        <v>5.1208827685573306</v>
      </c>
      <c r="U14" s="22">
        <f t="shared" si="15"/>
        <v>874.42910176784756</v>
      </c>
      <c r="V14" s="63">
        <f t="shared" si="16"/>
        <v>1180.2166580470619</v>
      </c>
      <c r="W14" s="23">
        <f t="shared" si="17"/>
        <v>0.25909442490433043</v>
      </c>
      <c r="X14" s="23">
        <f t="shared" si="18"/>
        <v>0.7505408445935442</v>
      </c>
      <c r="Y14" s="21">
        <f t="shared" si="19"/>
        <v>5.0783054352462846</v>
      </c>
      <c r="Z14" s="21">
        <f t="shared" si="20"/>
        <v>5.0783065493122033</v>
      </c>
      <c r="AA14" s="64">
        <f t="shared" si="21"/>
        <v>-1.1140659186281709E-6</v>
      </c>
      <c r="AB14" s="23">
        <f t="shared" si="22"/>
        <v>0.80972564880142894</v>
      </c>
      <c r="AC14" s="23">
        <f t="shared" si="23"/>
        <v>-0.25615605763722638</v>
      </c>
      <c r="AD14" s="65">
        <f t="shared" si="24"/>
        <v>1.2470487778668722E-3</v>
      </c>
      <c r="AE14" s="66">
        <f t="shared" si="25"/>
        <v>-1.0436222773523619E-3</v>
      </c>
      <c r="AF14" s="113">
        <v>-4</v>
      </c>
      <c r="AG14" s="80">
        <f t="shared" si="26"/>
        <v>0.42888226034585031</v>
      </c>
      <c r="AH14" s="34">
        <f t="shared" si="27"/>
        <v>164.32255999999998</v>
      </c>
      <c r="AI14" s="119">
        <f t="shared" si="28"/>
        <v>-9.3384399999999914</v>
      </c>
      <c r="AJ14" s="1">
        <f t="shared" si="0"/>
        <v>0.80946867728247418</v>
      </c>
      <c r="AK14" s="116">
        <v>161</v>
      </c>
      <c r="AL14" s="119">
        <v>-4.2040399999999778</v>
      </c>
      <c r="AM14" s="1">
        <f t="shared" si="29"/>
        <v>0.44342861705525238</v>
      </c>
      <c r="AN14" s="116">
        <v>161</v>
      </c>
      <c r="AO14" s="119">
        <v>-4.2040399999999778</v>
      </c>
      <c r="AP14" s="1">
        <f t="shared" si="30"/>
        <v>0.44342861705525238</v>
      </c>
      <c r="AQ14" s="116">
        <v>166.27213213028099</v>
      </c>
    </row>
    <row r="15" spans="1:43" ht="15" x14ac:dyDescent="0.25">
      <c r="B15" s="43" t="s">
        <v>3</v>
      </c>
      <c r="C15" s="44" t="s">
        <v>4</v>
      </c>
      <c r="E15" s="11" t="str">
        <f t="shared" si="1"/>
        <v>C13</v>
      </c>
      <c r="F15" s="13">
        <v>13</v>
      </c>
      <c r="G15" s="22">
        <f t="shared" si="2"/>
        <v>184.36532</v>
      </c>
      <c r="H15" s="21">
        <f t="shared" si="3"/>
        <v>5.2169192240209066</v>
      </c>
      <c r="I15" s="22">
        <f t="shared" si="4"/>
        <v>916.6637867561393</v>
      </c>
      <c r="J15" s="22">
        <f t="shared" si="5"/>
        <v>1218.9988760779449</v>
      </c>
      <c r="K15" s="1">
        <f t="shared" si="6"/>
        <v>0.248019169873684</v>
      </c>
      <c r="L15" s="23">
        <f t="shared" si="7"/>
        <v>0.75966066535723364</v>
      </c>
      <c r="M15" s="24">
        <f t="shared" si="8"/>
        <v>0.83449587350135479</v>
      </c>
      <c r="N15" s="33">
        <f t="shared" si="9"/>
        <v>0.22196931179196461</v>
      </c>
      <c r="O15" s="23">
        <f t="shared" si="10"/>
        <v>-3.1135369001884783</v>
      </c>
      <c r="P15" s="22">
        <f t="shared" si="11"/>
        <v>12.778030688208036</v>
      </c>
      <c r="Q15" s="34">
        <f t="shared" si="12"/>
        <v>181.25178309981152</v>
      </c>
      <c r="R15" s="37">
        <v>172.13006529029585</v>
      </c>
      <c r="S15" s="63">
        <f t="shared" si="13"/>
        <v>-12.235254709704151</v>
      </c>
      <c r="T15" s="21">
        <f t="shared" si="14"/>
        <v>5.1998871314784569</v>
      </c>
      <c r="U15" s="22">
        <f t="shared" si="15"/>
        <v>909.10548577746192</v>
      </c>
      <c r="V15" s="63">
        <f t="shared" si="16"/>
        <v>1212.1430756223094</v>
      </c>
      <c r="W15" s="23">
        <f t="shared" si="17"/>
        <v>0.25000150224780127</v>
      </c>
      <c r="X15" s="23">
        <f t="shared" si="18"/>
        <v>0.75809142299504861</v>
      </c>
      <c r="Y15" s="21">
        <f t="shared" si="19"/>
        <v>5.1482503845913996</v>
      </c>
      <c r="Z15" s="21">
        <f t="shared" si="20"/>
        <v>5.1482507344919171</v>
      </c>
      <c r="AA15" s="64">
        <f t="shared" si="21"/>
        <v>-3.4990051744898665E-7</v>
      </c>
      <c r="AB15" s="23">
        <f t="shared" si="22"/>
        <v>0.82246732239368592</v>
      </c>
      <c r="AC15" s="23">
        <f t="shared" si="23"/>
        <v>-0.27521447609725669</v>
      </c>
      <c r="AD15" s="65">
        <f t="shared" si="24"/>
        <v>1.4607056272344359E-3</v>
      </c>
      <c r="AE15" s="66">
        <f t="shared" si="25"/>
        <v>-1.2474881734064142E-3</v>
      </c>
      <c r="AF15" s="113">
        <v>-4</v>
      </c>
      <c r="AG15" s="80">
        <f t="shared" si="26"/>
        <v>0.42888226034585031</v>
      </c>
      <c r="AH15" s="34">
        <f t="shared" si="27"/>
        <v>178.34943999999999</v>
      </c>
      <c r="AI15" s="119">
        <f t="shared" si="28"/>
        <v>-9.365319999999997</v>
      </c>
      <c r="AJ15" s="1">
        <f t="shared" si="0"/>
        <v>0.81138499794679908</v>
      </c>
      <c r="AK15" s="116">
        <v>175</v>
      </c>
      <c r="AL15" s="119">
        <v>-4.2040399999999778</v>
      </c>
      <c r="AM15" s="1">
        <f t="shared" si="29"/>
        <v>0.44342861705525238</v>
      </c>
      <c r="AN15" s="116">
        <v>175</v>
      </c>
      <c r="AO15" s="119">
        <v>-4.2040399999999778</v>
      </c>
      <c r="AP15" s="1">
        <f t="shared" si="30"/>
        <v>0.44342861705525238</v>
      </c>
      <c r="AQ15" s="116">
        <v>182.08577427606554</v>
      </c>
    </row>
    <row r="16" spans="1:43" ht="15" x14ac:dyDescent="0.25">
      <c r="B16" s="48" t="s">
        <v>5</v>
      </c>
      <c r="C16" s="47" t="s">
        <v>6</v>
      </c>
      <c r="E16" s="11" t="str">
        <f t="shared" si="1"/>
        <v>C14</v>
      </c>
      <c r="F16" s="13">
        <v>14</v>
      </c>
      <c r="G16" s="22">
        <f t="shared" si="2"/>
        <v>198.39219999999997</v>
      </c>
      <c r="H16" s="21">
        <f t="shared" si="3"/>
        <v>5.290245879561807</v>
      </c>
      <c r="I16" s="22">
        <f t="shared" si="4"/>
        <v>949.50657069798262</v>
      </c>
      <c r="J16" s="22">
        <f t="shared" si="5"/>
        <v>1248.3761731851396</v>
      </c>
      <c r="K16" s="1">
        <f t="shared" si="6"/>
        <v>0.23940668598681536</v>
      </c>
      <c r="L16" s="23">
        <f t="shared" si="7"/>
        <v>0.76618528766060101</v>
      </c>
      <c r="M16" s="24">
        <f t="shared" si="8"/>
        <v>0.84681452507073174</v>
      </c>
      <c r="N16" s="33">
        <f t="shared" si="9"/>
        <v>0.23846914299646124</v>
      </c>
      <c r="O16" s="23">
        <f t="shared" si="10"/>
        <v>-3.3449780525141932</v>
      </c>
      <c r="P16" s="22">
        <f t="shared" si="11"/>
        <v>13.761530857003539</v>
      </c>
      <c r="Q16" s="34">
        <f t="shared" si="12"/>
        <v>195.04722194748578</v>
      </c>
      <c r="R16" s="37">
        <v>183.58740443988728</v>
      </c>
      <c r="S16" s="63">
        <f t="shared" si="13"/>
        <v>-14.804795560112694</v>
      </c>
      <c r="T16" s="21">
        <f t="shared" si="14"/>
        <v>5.2732416930800792</v>
      </c>
      <c r="U16" s="22">
        <f t="shared" si="15"/>
        <v>941.84877889524387</v>
      </c>
      <c r="V16" s="63">
        <f t="shared" si="16"/>
        <v>1241.5854519818477</v>
      </c>
      <c r="W16" s="23">
        <f t="shared" si="17"/>
        <v>0.24141445327678179</v>
      </c>
      <c r="X16" s="23">
        <f t="shared" si="18"/>
        <v>0.76470538086061324</v>
      </c>
      <c r="Y16" s="21">
        <f t="shared" si="19"/>
        <v>5.2126908725644903</v>
      </c>
      <c r="Z16" s="21">
        <f t="shared" si="20"/>
        <v>5.2126912967149588</v>
      </c>
      <c r="AA16" s="64">
        <f t="shared" si="21"/>
        <v>-4.2415046852539717E-7</v>
      </c>
      <c r="AB16" s="23">
        <f t="shared" si="22"/>
        <v>0.83376897513630432</v>
      </c>
      <c r="AC16" s="23">
        <f t="shared" si="23"/>
        <v>-0.29200480453544497</v>
      </c>
      <c r="AD16" s="65">
        <f t="shared" si="24"/>
        <v>1.6515223682937886E-3</v>
      </c>
      <c r="AE16" s="66">
        <f t="shared" si="25"/>
        <v>-1.4436221646428968E-3</v>
      </c>
      <c r="AF16" s="113">
        <v>-4</v>
      </c>
      <c r="AG16" s="80">
        <f t="shared" si="26"/>
        <v>0.42888226034585031</v>
      </c>
      <c r="AH16" s="34">
        <f t="shared" si="27"/>
        <v>192.37631999999996</v>
      </c>
      <c r="AI16" s="119">
        <f t="shared" si="28"/>
        <v>-8.3921999999999741</v>
      </c>
      <c r="AJ16" s="1">
        <f t="shared" ref="AJ16:AJ31" si="31">($C$11-AI16)/$C$12</f>
        <v>0.7420096272300023</v>
      </c>
      <c r="AK16" s="116">
        <v>190</v>
      </c>
      <c r="AL16" s="119">
        <v>-4.2040399999999778</v>
      </c>
      <c r="AM16" s="1">
        <f t="shared" si="29"/>
        <v>0.44342861705525238</v>
      </c>
      <c r="AN16" s="116">
        <v>190</v>
      </c>
      <c r="AO16" s="119">
        <v>-4.2040399999999778</v>
      </c>
      <c r="AP16" s="1">
        <f t="shared" si="30"/>
        <v>0.44342861705525238</v>
      </c>
      <c r="AQ16" s="116">
        <v>198.89599029260208</v>
      </c>
    </row>
    <row r="17" spans="2:43" x14ac:dyDescent="0.2">
      <c r="B17" s="71"/>
      <c r="C17" s="75" t="s">
        <v>7</v>
      </c>
      <c r="E17" s="11" t="str">
        <f t="shared" si="1"/>
        <v>C15</v>
      </c>
      <c r="F17" s="13">
        <v>15</v>
      </c>
      <c r="G17" s="22">
        <f t="shared" si="2"/>
        <v>212.41907999999998</v>
      </c>
      <c r="H17" s="21">
        <f t="shared" si="3"/>
        <v>5.3585611158417397</v>
      </c>
      <c r="I17" s="22">
        <f t="shared" si="4"/>
        <v>980.50017083873229</v>
      </c>
      <c r="J17" s="22">
        <f t="shared" si="5"/>
        <v>1275.5054899866318</v>
      </c>
      <c r="K17" s="1">
        <f t="shared" si="6"/>
        <v>0.23128502500682402</v>
      </c>
      <c r="L17" s="23">
        <f t="shared" si="7"/>
        <v>0.77193220219508218</v>
      </c>
      <c r="M17" s="24">
        <f t="shared" si="8"/>
        <v>0.85780491795277569</v>
      </c>
      <c r="N17" s="33">
        <f t="shared" si="9"/>
        <v>0.2533466341470037</v>
      </c>
      <c r="O17" s="23">
        <f t="shared" si="10"/>
        <v>-3.5536628355839355</v>
      </c>
      <c r="P17" s="22">
        <f t="shared" si="11"/>
        <v>14.746653365852994</v>
      </c>
      <c r="Q17" s="34">
        <f t="shared" si="12"/>
        <v>208.86541716441604</v>
      </c>
      <c r="R17" s="37">
        <v>194.88871253131256</v>
      </c>
      <c r="S17" s="63">
        <f t="shared" si="13"/>
        <v>-17.530367468687416</v>
      </c>
      <c r="T17" s="21">
        <f t="shared" si="14"/>
        <v>5.3416901075359631</v>
      </c>
      <c r="U17" s="22">
        <f t="shared" si="15"/>
        <v>972.81398793064841</v>
      </c>
      <c r="V17" s="63">
        <f t="shared" si="16"/>
        <v>1268.829856796697</v>
      </c>
      <c r="W17" s="23">
        <f t="shared" si="17"/>
        <v>0.23329831598806616</v>
      </c>
      <c r="X17" s="23">
        <f t="shared" si="18"/>
        <v>0.77054235886744338</v>
      </c>
      <c r="Y17" s="21">
        <f t="shared" si="19"/>
        <v>5.2724286906820517</v>
      </c>
      <c r="Z17" s="21">
        <f t="shared" si="20"/>
        <v>5.2724300216288089</v>
      </c>
      <c r="AA17" s="64">
        <f t="shared" si="21"/>
        <v>-1.3309467572497624E-6</v>
      </c>
      <c r="AB17" s="23">
        <f t="shared" si="22"/>
        <v>0.84387113958480853</v>
      </c>
      <c r="AC17" s="23">
        <f t="shared" si="23"/>
        <v>-0.30694360399503684</v>
      </c>
      <c r="AD17" s="65">
        <f t="shared" si="24"/>
        <v>1.8230402003088456E-3</v>
      </c>
      <c r="AE17" s="66">
        <f t="shared" si="25"/>
        <v>-1.6313368969992994E-3</v>
      </c>
      <c r="AF17" s="113">
        <v>-4</v>
      </c>
      <c r="AG17" s="80">
        <f t="shared" si="26"/>
        <v>0.42888226034585031</v>
      </c>
      <c r="AH17" s="34">
        <f t="shared" si="27"/>
        <v>206.40319999999997</v>
      </c>
      <c r="AI17" s="119">
        <f t="shared" si="28"/>
        <v>-6.4190799999999797</v>
      </c>
      <c r="AJ17" s="1">
        <f t="shared" si="31"/>
        <v>0.60134256513208784</v>
      </c>
      <c r="AK17" s="116">
        <v>206</v>
      </c>
      <c r="AL17" s="119">
        <v>-4.2040399999999778</v>
      </c>
      <c r="AM17" s="1">
        <f t="shared" si="29"/>
        <v>0.44342861705525238</v>
      </c>
      <c r="AN17" s="116">
        <v>206</v>
      </c>
      <c r="AO17" s="119">
        <v>-4.2040399999999778</v>
      </c>
      <c r="AP17" s="1">
        <f t="shared" si="30"/>
        <v>0.44342861705525238</v>
      </c>
      <c r="AQ17" s="116">
        <v>214.76070859008735</v>
      </c>
    </row>
    <row r="18" spans="2:43" x14ac:dyDescent="0.2">
      <c r="B18" s="9" t="str">
        <f t="shared" ref="B18:B41" si="32">E9</f>
        <v>C7</v>
      </c>
      <c r="C18" s="16">
        <v>9.4251258634820285</v>
      </c>
      <c r="E18" s="11" t="str">
        <f t="shared" si="1"/>
        <v>C16</v>
      </c>
      <c r="F18" s="13">
        <v>16</v>
      </c>
      <c r="G18" s="22">
        <f t="shared" si="2"/>
        <v>226.44595999999999</v>
      </c>
      <c r="H18" s="21">
        <f t="shared" si="3"/>
        <v>5.4225063292601678</v>
      </c>
      <c r="I18" s="22">
        <f t="shared" si="4"/>
        <v>1009.8011735644674</v>
      </c>
      <c r="J18" s="22">
        <f t="shared" si="5"/>
        <v>1300.6479760889395</v>
      </c>
      <c r="K18" s="1">
        <f t="shared" si="6"/>
        <v>0.22361684934846948</v>
      </c>
      <c r="L18" s="23">
        <f t="shared" si="7"/>
        <v>0.77702676712208718</v>
      </c>
      <c r="M18" s="24">
        <f t="shared" si="8"/>
        <v>0.86767089188940638</v>
      </c>
      <c r="N18" s="33">
        <f t="shared" si="9"/>
        <v>0.26684303091785017</v>
      </c>
      <c r="O18" s="23">
        <f t="shared" si="10"/>
        <v>-3.7429751735209607</v>
      </c>
      <c r="P18" s="22">
        <f t="shared" si="11"/>
        <v>15.733156969082151</v>
      </c>
      <c r="Q18" s="34">
        <f t="shared" si="12"/>
        <v>222.70298482647902</v>
      </c>
      <c r="R18" s="37">
        <v>206.04661582879629</v>
      </c>
      <c r="S18" s="63">
        <f t="shared" si="13"/>
        <v>-20.399344171203694</v>
      </c>
      <c r="T18" s="21">
        <f t="shared" si="14"/>
        <v>5.4058389770764181</v>
      </c>
      <c r="U18" s="22">
        <f t="shared" si="15"/>
        <v>1002.1398442240554</v>
      </c>
      <c r="V18" s="63">
        <f t="shared" si="16"/>
        <v>1294.1200751317458</v>
      </c>
      <c r="W18" s="23">
        <f t="shared" si="17"/>
        <v>0.22562066420147742</v>
      </c>
      <c r="X18" s="23">
        <f t="shared" si="18"/>
        <v>0.77572516709239214</v>
      </c>
      <c r="Y18" s="21">
        <f t="shared" si="19"/>
        <v>5.3281024336208134</v>
      </c>
      <c r="Z18" s="21">
        <f t="shared" si="20"/>
        <v>5.3281028745924504</v>
      </c>
      <c r="AA18" s="64">
        <f t="shared" si="21"/>
        <v>-4.409716369835337E-7</v>
      </c>
      <c r="AB18" s="23">
        <f t="shared" si="22"/>
        <v>0.85296252201513012</v>
      </c>
      <c r="AC18" s="23">
        <f t="shared" si="23"/>
        <v>-0.3203564263409342</v>
      </c>
      <c r="AD18" s="65">
        <f t="shared" si="24"/>
        <v>1.9780923641895647E-3</v>
      </c>
      <c r="AE18" s="66">
        <f t="shared" si="25"/>
        <v>-1.8105445989994356E-3</v>
      </c>
      <c r="AF18" s="113">
        <v>-4</v>
      </c>
      <c r="AG18" s="80">
        <f t="shared" si="26"/>
        <v>0.42888226034585031</v>
      </c>
      <c r="AH18" s="34">
        <f t="shared" si="27"/>
        <v>220.43007999999998</v>
      </c>
      <c r="AI18" s="119">
        <f t="shared" si="28"/>
        <v>-4.4459599999999853</v>
      </c>
      <c r="AJ18" s="1">
        <f t="shared" si="31"/>
        <v>0.46067550303417337</v>
      </c>
      <c r="AK18" s="116">
        <v>222</v>
      </c>
      <c r="AL18" s="119">
        <v>-4.2040399999999778</v>
      </c>
      <c r="AM18" s="1">
        <f t="shared" si="29"/>
        <v>0.44342861705525238</v>
      </c>
      <c r="AN18" s="116">
        <v>222</v>
      </c>
      <c r="AO18" s="119">
        <v>-4.2040399999999778</v>
      </c>
      <c r="AP18" s="1">
        <f t="shared" si="30"/>
        <v>0.44342861705525238</v>
      </c>
      <c r="AQ18" s="116">
        <v>229.45431195294896</v>
      </c>
    </row>
    <row r="19" spans="2:43" x14ac:dyDescent="0.2">
      <c r="B19" s="11" t="str">
        <f t="shared" si="32"/>
        <v>C8</v>
      </c>
      <c r="C19" s="13">
        <v>12.633181126331813</v>
      </c>
      <c r="E19" s="11" t="str">
        <f t="shared" si="1"/>
        <v>C17</v>
      </c>
      <c r="F19" s="13">
        <v>17</v>
      </c>
      <c r="G19" s="22">
        <f t="shared" si="2"/>
        <v>240.47283999999999</v>
      </c>
      <c r="H19" s="21">
        <f t="shared" si="3"/>
        <v>5.4826071517756549</v>
      </c>
      <c r="I19" s="22">
        <f t="shared" si="4"/>
        <v>1037.5483202403909</v>
      </c>
      <c r="J19" s="22">
        <f t="shared" si="5"/>
        <v>1324.0252938324636</v>
      </c>
      <c r="K19" s="1">
        <f t="shared" si="6"/>
        <v>0.21636820302945226</v>
      </c>
      <c r="L19" s="23">
        <f t="shared" si="7"/>
        <v>0.78156748707798496</v>
      </c>
      <c r="M19" s="24">
        <f t="shared" si="8"/>
        <v>0.87657660703164164</v>
      </c>
      <c r="N19" s="33">
        <f t="shared" ref="N19:N30" si="33">0.7*(M19-L19)/(0.2456-1.77/G19)</f>
        <v>0.27915766937990444</v>
      </c>
      <c r="O19" s="23">
        <f t="shared" si="10"/>
        <v>-3.9157111294715889</v>
      </c>
      <c r="P19" s="22">
        <f t="shared" si="11"/>
        <v>16.720842330620098</v>
      </c>
      <c r="Q19" s="34">
        <f t="shared" si="12"/>
        <v>236.5571288705284</v>
      </c>
      <c r="R19" s="37">
        <v>217.07098085631455</v>
      </c>
      <c r="S19" s="63">
        <f t="shared" si="13"/>
        <v>-23.401859143685442</v>
      </c>
      <c r="T19" s="21">
        <f t="shared" si="14"/>
        <v>5.4661897384673903</v>
      </c>
      <c r="U19" s="22">
        <f t="shared" si="15"/>
        <v>1029.9514366368621</v>
      </c>
      <c r="V19" s="63">
        <f t="shared" si="16"/>
        <v>1317.6654661606703</v>
      </c>
      <c r="W19" s="23">
        <f t="shared" si="17"/>
        <v>0.21835134707000481</v>
      </c>
      <c r="X19" s="23">
        <f t="shared" si="18"/>
        <v>0.78035076850785523</v>
      </c>
      <c r="Y19" s="21">
        <f t="shared" si="19"/>
        <v>5.3802244007750257</v>
      </c>
      <c r="Z19" s="21">
        <f t="shared" si="20"/>
        <v>5.380224506119645</v>
      </c>
      <c r="AA19" s="64">
        <f t="shared" si="21"/>
        <v>-1.0534461925004734E-7</v>
      </c>
      <c r="AB19" s="23">
        <f t="shared" si="22"/>
        <v>0.86119271558484922</v>
      </c>
      <c r="AC19" s="23">
        <f t="shared" si="23"/>
        <v>-0.33249589264441914</v>
      </c>
      <c r="AD19" s="65">
        <f t="shared" si="24"/>
        <v>2.1189773074077895E-3</v>
      </c>
      <c r="AE19" s="66">
        <f t="shared" si="25"/>
        <v>-1.9814516682433053E-3</v>
      </c>
      <c r="AF19" s="113">
        <v>-4</v>
      </c>
      <c r="AG19" s="80">
        <f t="shared" si="26"/>
        <v>0.42888226034585031</v>
      </c>
      <c r="AH19" s="34">
        <f t="shared" si="27"/>
        <v>234.45695999999998</v>
      </c>
      <c r="AI19" s="119">
        <f t="shared" si="28"/>
        <v>-3.4728399999999908</v>
      </c>
      <c r="AJ19" s="1">
        <f t="shared" si="31"/>
        <v>0.39130013231737859</v>
      </c>
      <c r="AK19" s="116">
        <v>237</v>
      </c>
      <c r="AL19" s="119">
        <v>-4.2040399999999778</v>
      </c>
      <c r="AM19" s="1">
        <f t="shared" si="29"/>
        <v>0.44342861705525238</v>
      </c>
      <c r="AN19" s="116">
        <v>237</v>
      </c>
      <c r="AO19" s="119">
        <v>-4.2040399999999778</v>
      </c>
      <c r="AP19" s="1">
        <f t="shared" si="30"/>
        <v>0.44342861705525238</v>
      </c>
      <c r="AQ19" s="116">
        <v>243.55237561869944</v>
      </c>
    </row>
    <row r="20" spans="2:43" x14ac:dyDescent="0.2">
      <c r="B20" s="11" t="str">
        <f t="shared" si="32"/>
        <v>C9</v>
      </c>
      <c r="C20" s="13">
        <v>9.1441283222105145</v>
      </c>
      <c r="E20" s="11" t="str">
        <f t="shared" si="1"/>
        <v>C18</v>
      </c>
      <c r="F20" s="13">
        <v>18</v>
      </c>
      <c r="G20" s="22">
        <f t="shared" si="2"/>
        <v>254.49972</v>
      </c>
      <c r="H20" s="21">
        <f t="shared" si="3"/>
        <v>5.5392997357935085</v>
      </c>
      <c r="I20" s="22">
        <f t="shared" si="4"/>
        <v>1063.8653690289993</v>
      </c>
      <c r="J20" s="22">
        <f t="shared" si="5"/>
        <v>1345.8270415599043</v>
      </c>
      <c r="K20" s="1">
        <f t="shared" si="6"/>
        <v>0.20950810455115565</v>
      </c>
      <c r="L20" s="23">
        <f t="shared" si="7"/>
        <v>0.78563346487323493</v>
      </c>
      <c r="M20" s="24">
        <f t="shared" si="8"/>
        <v>0.88465575095089777</v>
      </c>
      <c r="N20" s="33">
        <f t="shared" si="33"/>
        <v>0.29045464294762258</v>
      </c>
      <c r="O20" s="23">
        <f t="shared" si="10"/>
        <v>-4.0741724220691538</v>
      </c>
      <c r="P20" s="22">
        <f t="shared" si="11"/>
        <v>17.709545357052377</v>
      </c>
      <c r="Q20" s="34">
        <f t="shared" si="12"/>
        <v>250.42554757793084</v>
      </c>
      <c r="R20" s="37">
        <v>227.97053420792875</v>
      </c>
      <c r="S20" s="63">
        <f t="shared" si="13"/>
        <v>-26.529185792071246</v>
      </c>
      <c r="T20" s="21">
        <f t="shared" si="14"/>
        <v>5.5231616610899499</v>
      </c>
      <c r="U20" s="22">
        <f t="shared" si="15"/>
        <v>1056.3620858200438</v>
      </c>
      <c r="V20" s="63">
        <f t="shared" si="16"/>
        <v>1339.6469425923478</v>
      </c>
      <c r="W20" s="23">
        <f t="shared" si="17"/>
        <v>0.21146232471080784</v>
      </c>
      <c r="X20" s="23">
        <f t="shared" si="18"/>
        <v>0.78449737228919536</v>
      </c>
      <c r="Y20" s="21">
        <f t="shared" si="19"/>
        <v>5.4292163846726211</v>
      </c>
      <c r="Z20" s="21">
        <f t="shared" si="20"/>
        <v>5.4292169490257569</v>
      </c>
      <c r="AA20" s="64">
        <f t="shared" si="21"/>
        <v>-5.6435313577907209E-7</v>
      </c>
      <c r="AB20" s="23">
        <f t="shared" si="22"/>
        <v>0.86868273905017501</v>
      </c>
      <c r="AC20" s="23">
        <f t="shared" si="23"/>
        <v>-0.34356187126763937</v>
      </c>
      <c r="AD20" s="65">
        <f t="shared" si="24"/>
        <v>2.2475817330815107E-3</v>
      </c>
      <c r="AE20" s="66">
        <f t="shared" si="25"/>
        <v>-2.1444300698900483E-3</v>
      </c>
      <c r="AF20" s="113">
        <v>-4</v>
      </c>
      <c r="AG20" s="80">
        <f t="shared" si="26"/>
        <v>0.42888226034585031</v>
      </c>
      <c r="AH20" s="34">
        <f t="shared" si="27"/>
        <v>248.48383999999999</v>
      </c>
      <c r="AI20" s="119">
        <f t="shared" si="28"/>
        <v>-3.4997199999999964</v>
      </c>
      <c r="AJ20" s="1">
        <f t="shared" si="31"/>
        <v>0.39321645298170349</v>
      </c>
      <c r="AK20" s="116">
        <v>251</v>
      </c>
      <c r="AL20" s="119">
        <v>-4.2040399999999778</v>
      </c>
      <c r="AM20" s="1">
        <f t="shared" si="29"/>
        <v>0.44342861705525238</v>
      </c>
      <c r="AN20" s="116">
        <v>251</v>
      </c>
      <c r="AO20" s="119">
        <v>-4.2040399999999778</v>
      </c>
      <c r="AP20" s="1">
        <f t="shared" si="30"/>
        <v>0.44342861705525238</v>
      </c>
      <c r="AQ20" s="116">
        <v>258.14443728270737</v>
      </c>
    </row>
    <row r="21" spans="2:43" x14ac:dyDescent="0.2">
      <c r="B21" s="11" t="str">
        <f t="shared" si="32"/>
        <v>C10</v>
      </c>
      <c r="C21" s="13">
        <v>7.6220583069898122</v>
      </c>
      <c r="E21" s="11" t="str">
        <f t="shared" si="1"/>
        <v>C19</v>
      </c>
      <c r="F21" s="13">
        <v>19</v>
      </c>
      <c r="G21" s="22">
        <f t="shared" si="2"/>
        <v>268.52659999999997</v>
      </c>
      <c r="H21" s="21">
        <f t="shared" si="3"/>
        <v>5.5929499779432232</v>
      </c>
      <c r="I21" s="22">
        <f t="shared" si="4"/>
        <v>1088.8632911604889</v>
      </c>
      <c r="J21" s="22">
        <f t="shared" si="5"/>
        <v>1366.2164757624921</v>
      </c>
      <c r="K21" s="1">
        <f t="shared" si="6"/>
        <v>0.20300822711657829</v>
      </c>
      <c r="L21" s="23">
        <f t="shared" si="7"/>
        <v>0.78928934733456579</v>
      </c>
      <c r="M21" s="24">
        <f t="shared" si="8"/>
        <v>0.89201829573614344</v>
      </c>
      <c r="N21" s="33">
        <f t="shared" si="33"/>
        <v>0.30086909725055438</v>
      </c>
      <c r="O21" s="23">
        <f t="shared" si="10"/>
        <v>-4.2202547228418439</v>
      </c>
      <c r="P21" s="22">
        <f t="shared" si="11"/>
        <v>18.699130902749449</v>
      </c>
      <c r="Q21" s="34">
        <f t="shared" si="12"/>
        <v>264.30634527715813</v>
      </c>
      <c r="R21" s="37">
        <v>238.75323891768431</v>
      </c>
      <c r="S21" s="63">
        <f t="shared" si="13"/>
        <v>-29.77336108231566</v>
      </c>
      <c r="T21" s="21">
        <f t="shared" si="14"/>
        <v>5.5771088291811521</v>
      </c>
      <c r="U21" s="22">
        <f t="shared" si="15"/>
        <v>1081.4747756171678</v>
      </c>
      <c r="V21" s="63">
        <f t="shared" si="16"/>
        <v>1360.2216570025712</v>
      </c>
      <c r="W21" s="23">
        <f t="shared" si="17"/>
        <v>0.20492754247102574</v>
      </c>
      <c r="X21" s="23">
        <f t="shared" si="18"/>
        <v>0.78822915852207842</v>
      </c>
      <c r="Y21" s="21">
        <f t="shared" si="19"/>
        <v>5.4754305454161889</v>
      </c>
      <c r="Z21" s="21">
        <f t="shared" si="20"/>
        <v>5.475430908294709</v>
      </c>
      <c r="AA21" s="64">
        <f t="shared" si="21"/>
        <v>-3.6287852012151234E-7</v>
      </c>
      <c r="AB21" s="23">
        <f t="shared" si="22"/>
        <v>0.87553172420426606</v>
      </c>
      <c r="AC21" s="23">
        <f t="shared" si="23"/>
        <v>-0.35371379299200834</v>
      </c>
      <c r="AD21" s="65">
        <f t="shared" si="24"/>
        <v>2.3654702607466063E-3</v>
      </c>
      <c r="AE21" s="66">
        <f t="shared" si="25"/>
        <v>-2.2999255073274647E-3</v>
      </c>
      <c r="AF21" s="113">
        <v>-4</v>
      </c>
      <c r="AG21" s="80">
        <f t="shared" si="26"/>
        <v>0.42888226034585031</v>
      </c>
      <c r="AH21" s="34">
        <f t="shared" si="27"/>
        <v>262.51071999999999</v>
      </c>
      <c r="AI21" s="119">
        <f t="shared" si="28"/>
        <v>-5.5265999999999735</v>
      </c>
      <c r="AJ21" s="1">
        <f t="shared" si="31"/>
        <v>0.53771615640826576</v>
      </c>
      <c r="AK21" s="116">
        <v>263</v>
      </c>
      <c r="AL21" s="119">
        <v>-4.2040399999999778</v>
      </c>
      <c r="AM21" s="1">
        <f t="shared" si="29"/>
        <v>0.44342861705525238</v>
      </c>
      <c r="AN21" s="116">
        <v>263</v>
      </c>
      <c r="AO21" s="119">
        <v>-4.2040399999999778</v>
      </c>
      <c r="AP21" s="1">
        <f t="shared" si="30"/>
        <v>0.44342861705525238</v>
      </c>
      <c r="AQ21" s="116">
        <v>273.25260139568695</v>
      </c>
    </row>
    <row r="22" spans="2:43" x14ac:dyDescent="0.2">
      <c r="B22" s="11" t="str">
        <f t="shared" si="32"/>
        <v>C11</v>
      </c>
      <c r="C22" s="13">
        <v>5.8541154431565401</v>
      </c>
      <c r="E22" s="11" t="str">
        <f t="shared" si="1"/>
        <v>C20</v>
      </c>
      <c r="F22" s="13">
        <v>20</v>
      </c>
      <c r="G22" s="22">
        <f t="shared" si="2"/>
        <v>282.55347999999998</v>
      </c>
      <c r="H22" s="21">
        <f t="shared" si="3"/>
        <v>5.6438678424041822</v>
      </c>
      <c r="I22" s="22">
        <f t="shared" si="4"/>
        <v>1112.6420099323193</v>
      </c>
      <c r="J22" s="22">
        <f t="shared" si="5"/>
        <v>1385.3350011233695</v>
      </c>
      <c r="K22" s="1">
        <f t="shared" si="6"/>
        <v>0.19684263443132755</v>
      </c>
      <c r="L22" s="23">
        <f t="shared" si="7"/>
        <v>0.79258871581865975</v>
      </c>
      <c r="M22" s="24">
        <f t="shared" si="8"/>
        <v>0.89875553343331038</v>
      </c>
      <c r="N22" s="33">
        <f t="shared" si="33"/>
        <v>0.31051269237630863</v>
      </c>
      <c r="O22" s="23">
        <f t="shared" si="10"/>
        <v>-4.3555242744394036</v>
      </c>
      <c r="P22" s="22">
        <f t="shared" si="11"/>
        <v>19.689487307623693</v>
      </c>
      <c r="Q22" s="34">
        <f t="shared" si="12"/>
        <v>278.19795572556058</v>
      </c>
      <c r="R22" s="37">
        <v>249.42582366612692</v>
      </c>
      <c r="S22" s="63">
        <f t="shared" si="13"/>
        <v>-33.127656333873063</v>
      </c>
      <c r="T22" s="21">
        <f t="shared" si="14"/>
        <v>5.628332931243655</v>
      </c>
      <c r="U22" s="22">
        <f t="shared" si="15"/>
        <v>1105.3833083283275</v>
      </c>
      <c r="V22" s="63">
        <f t="shared" si="16"/>
        <v>1379.5267529949465</v>
      </c>
      <c r="W22" s="23">
        <f t="shared" si="17"/>
        <v>0.19872281858358654</v>
      </c>
      <c r="X22" s="23">
        <f t="shared" si="18"/>
        <v>0.79159952572435932</v>
      </c>
      <c r="Y22" s="21">
        <f t="shared" si="19"/>
        <v>5.5191615710538233</v>
      </c>
      <c r="Z22" s="21">
        <f t="shared" si="20"/>
        <v>5.5191618390652062</v>
      </c>
      <c r="AA22" s="64">
        <f t="shared" si="21"/>
        <v>-2.6801138286458581E-7</v>
      </c>
      <c r="AB22" s="23">
        <f t="shared" si="22"/>
        <v>0.88182135053337973</v>
      </c>
      <c r="AC22" s="23">
        <f t="shared" si="23"/>
        <v>-0.36307866504688513</v>
      </c>
      <c r="AD22" s="65">
        <f t="shared" si="24"/>
        <v>2.4739521313129013E-3</v>
      </c>
      <c r="AE22" s="66">
        <f t="shared" si="25"/>
        <v>-2.4483911449263789E-3</v>
      </c>
      <c r="AF22" s="113">
        <v>-4</v>
      </c>
      <c r="AG22" s="80">
        <f t="shared" si="26"/>
        <v>0.42888226034585031</v>
      </c>
      <c r="AH22" s="34">
        <f t="shared" si="27"/>
        <v>276.5376</v>
      </c>
      <c r="AI22" s="119">
        <f t="shared" si="28"/>
        <v>-7.5534799999999791</v>
      </c>
      <c r="AJ22" s="1">
        <f t="shared" si="31"/>
        <v>0.68221585983482991</v>
      </c>
      <c r="AK22" s="116">
        <v>275</v>
      </c>
      <c r="AL22" s="119">
        <v>-4.2040399999999778</v>
      </c>
      <c r="AM22" s="1">
        <f t="shared" si="29"/>
        <v>0.44342861705525238</v>
      </c>
      <c r="AN22" s="116">
        <v>275</v>
      </c>
      <c r="AO22" s="119">
        <v>-4.2040399999999778</v>
      </c>
      <c r="AP22" s="1">
        <f t="shared" si="30"/>
        <v>0.44342861705525238</v>
      </c>
      <c r="AQ22" s="116">
        <v>287.75599687967997</v>
      </c>
    </row>
    <row r="23" spans="2:43" x14ac:dyDescent="0.2">
      <c r="B23" s="11" t="str">
        <f t="shared" si="32"/>
        <v>C12</v>
      </c>
      <c r="C23" s="13">
        <v>4.9759981266830584</v>
      </c>
      <c r="E23" s="11" t="str">
        <f t="shared" si="1"/>
        <v>C21</v>
      </c>
      <c r="F23" s="13">
        <v>21</v>
      </c>
      <c r="G23" s="22">
        <f t="shared" si="2"/>
        <v>296.58035999999993</v>
      </c>
      <c r="H23" s="21">
        <f t="shared" si="3"/>
        <v>5.6923182103839363</v>
      </c>
      <c r="I23" s="22">
        <f t="shared" si="4"/>
        <v>1135.291812805378</v>
      </c>
      <c r="J23" s="22">
        <f t="shared" si="5"/>
        <v>1403.3057449842026</v>
      </c>
      <c r="K23" s="1">
        <f t="shared" si="6"/>
        <v>0.19098755430652203</v>
      </c>
      <c r="L23" s="23">
        <f t="shared" si="7"/>
        <v>0.79557648455900076</v>
      </c>
      <c r="M23" s="24">
        <f t="shared" si="8"/>
        <v>0.90494388075587473</v>
      </c>
      <c r="N23" s="33">
        <f t="shared" si="33"/>
        <v>0.31947814314762457</v>
      </c>
      <c r="O23" s="23">
        <f t="shared" si="10"/>
        <v>-4.4812815765545793</v>
      </c>
      <c r="P23" s="22">
        <f t="shared" si="11"/>
        <v>20.680521856852373</v>
      </c>
      <c r="Q23" s="34">
        <f t="shared" si="12"/>
        <v>292.09907842344535</v>
      </c>
      <c r="R23" s="37">
        <v>259.99441495371246</v>
      </c>
      <c r="S23" s="63">
        <f t="shared" si="13"/>
        <v>-36.585945046287463</v>
      </c>
      <c r="T23" s="21">
        <f t="shared" si="14"/>
        <v>5.6770930543851073</v>
      </c>
      <c r="U23" s="22">
        <f t="shared" si="15"/>
        <v>1128.1732744555732</v>
      </c>
      <c r="V23" s="63">
        <f t="shared" si="16"/>
        <v>1397.6824135299671</v>
      </c>
      <c r="W23" s="23">
        <f t="shared" si="17"/>
        <v>0.19282573527824931</v>
      </c>
      <c r="X23" s="23">
        <f t="shared" si="18"/>
        <v>0.79465339341720032</v>
      </c>
      <c r="Y23" s="21">
        <f t="shared" si="19"/>
        <v>5.560660149837549</v>
      </c>
      <c r="Z23" s="21">
        <f t="shared" si="20"/>
        <v>5.5606608322373994</v>
      </c>
      <c r="AA23" s="64">
        <f t="shared" si="21"/>
        <v>-6.823998504046358E-7</v>
      </c>
      <c r="AB23" s="23">
        <f t="shared" si="22"/>
        <v>0.88761981083529873</v>
      </c>
      <c r="AC23" s="23">
        <f t="shared" si="23"/>
        <v>-0.37175941396173251</v>
      </c>
      <c r="AD23" s="65">
        <f t="shared" si="24"/>
        <v>2.5741317093869662E-3</v>
      </c>
      <c r="AE23" s="66">
        <f t="shared" si="25"/>
        <v>-2.5902717779298125E-3</v>
      </c>
      <c r="AF23" s="113">
        <v>-4</v>
      </c>
      <c r="AG23" s="80">
        <f t="shared" si="26"/>
        <v>0.42888226034585031</v>
      </c>
      <c r="AH23" s="34">
        <f t="shared" si="27"/>
        <v>290.56447999999995</v>
      </c>
      <c r="AI23" s="119">
        <f t="shared" si="28"/>
        <v>-5.5803599999999278</v>
      </c>
      <c r="AJ23" s="1">
        <f t="shared" si="31"/>
        <v>0.54154879773691145</v>
      </c>
      <c r="AK23" s="116">
        <v>291</v>
      </c>
      <c r="AL23" s="119">
        <v>-4.2040399999999778</v>
      </c>
      <c r="AM23" s="1">
        <f t="shared" si="29"/>
        <v>0.44342861705525238</v>
      </c>
      <c r="AN23" s="116">
        <v>291</v>
      </c>
      <c r="AO23" s="119">
        <v>-4.2040399999999778</v>
      </c>
      <c r="AP23" s="1">
        <f t="shared" si="30"/>
        <v>0.44342861705525238</v>
      </c>
      <c r="AQ23" s="116">
        <v>301.48700246817646</v>
      </c>
    </row>
    <row r="24" spans="2:43" x14ac:dyDescent="0.2">
      <c r="B24" s="11" t="str">
        <f t="shared" si="32"/>
        <v>C13</v>
      </c>
      <c r="C24" s="13">
        <v>5.0930804355461889</v>
      </c>
      <c r="E24" s="11" t="str">
        <f t="shared" si="1"/>
        <v>C22</v>
      </c>
      <c r="F24" s="13">
        <v>22</v>
      </c>
      <c r="G24" s="22">
        <f t="shared" si="2"/>
        <v>310.60723999999993</v>
      </c>
      <c r="H24" s="21">
        <f t="shared" si="3"/>
        <v>5.7385292201660354</v>
      </c>
      <c r="I24" s="22">
        <f t="shared" si="4"/>
        <v>1156.8945212098176</v>
      </c>
      <c r="J24" s="22">
        <f t="shared" si="5"/>
        <v>1420.2364370366458</v>
      </c>
      <c r="K24" s="1">
        <f t="shared" si="6"/>
        <v>0.18542117985389595</v>
      </c>
      <c r="L24" s="23">
        <f t="shared" si="7"/>
        <v>0.79829064786401571</v>
      </c>
      <c r="M24" s="24">
        <f t="shared" si="8"/>
        <v>0.91064779027142206</v>
      </c>
      <c r="N24" s="33">
        <f t="shared" si="33"/>
        <v>0.3278429046324336</v>
      </c>
      <c r="O24" s="23">
        <f t="shared" si="10"/>
        <v>-4.5986130821306119</v>
      </c>
      <c r="P24" s="22">
        <f t="shared" si="11"/>
        <v>21.672157095367563</v>
      </c>
      <c r="Q24" s="34">
        <f t="shared" si="12"/>
        <v>306.00862691786932</v>
      </c>
      <c r="R24" s="37">
        <v>270.46502769360995</v>
      </c>
      <c r="S24" s="63">
        <f t="shared" si="13"/>
        <v>-40.142212306389979</v>
      </c>
      <c r="T24" s="21">
        <f t="shared" si="14"/>
        <v>5.723613294097035</v>
      </c>
      <c r="U24" s="22">
        <f t="shared" si="15"/>
        <v>1149.9228881225395</v>
      </c>
      <c r="V24" s="63">
        <f t="shared" si="16"/>
        <v>1414.7943657439007</v>
      </c>
      <c r="W24" s="23">
        <f t="shared" si="17"/>
        <v>0.18721553042239569</v>
      </c>
      <c r="X24" s="23">
        <f t="shared" si="18"/>
        <v>0.79742888368233023</v>
      </c>
      <c r="Y24" s="21">
        <f t="shared" si="19"/>
        <v>5.6001428022890192</v>
      </c>
      <c r="Z24" s="21">
        <f t="shared" si="20"/>
        <v>5.6001428690918589</v>
      </c>
      <c r="AA24" s="64">
        <f t="shared" si="21"/>
        <v>-6.6802839704394046E-8</v>
      </c>
      <c r="AB24" s="23">
        <f t="shared" si="22"/>
        <v>0.89298470788829754</v>
      </c>
      <c r="AC24" s="23">
        <f t="shared" si="23"/>
        <v>-0.37984083802787205</v>
      </c>
      <c r="AD24" s="65">
        <f t="shared" si="24"/>
        <v>2.6669472945991327E-3</v>
      </c>
      <c r="AE24" s="66">
        <f t="shared" si="25"/>
        <v>-2.7259968620342292E-3</v>
      </c>
      <c r="AF24" s="113">
        <v>-4</v>
      </c>
      <c r="AG24" s="80">
        <f t="shared" si="26"/>
        <v>0.42888226034585031</v>
      </c>
      <c r="AH24" s="34">
        <f t="shared" si="27"/>
        <v>304.59135999999995</v>
      </c>
      <c r="AI24" s="119">
        <f t="shared" si="28"/>
        <v>-5.6072399999999334</v>
      </c>
      <c r="AJ24" s="1">
        <f t="shared" si="31"/>
        <v>0.54346511840123635</v>
      </c>
      <c r="AK24" s="116">
        <v>305</v>
      </c>
      <c r="AL24" s="119">
        <v>-4.2040399999999778</v>
      </c>
      <c r="AM24" s="1">
        <f t="shared" si="29"/>
        <v>0.44342861705525238</v>
      </c>
      <c r="AN24" s="116">
        <v>300</v>
      </c>
      <c r="AO24" s="119">
        <v>-4.2040399999999778</v>
      </c>
      <c r="AP24" s="1">
        <f t="shared" si="30"/>
        <v>0.44342861705525238</v>
      </c>
      <c r="AQ24" s="116">
        <v>315.05712456965648</v>
      </c>
    </row>
    <row r="25" spans="2:43" x14ac:dyDescent="0.2">
      <c r="B25" s="11" t="str">
        <f t="shared" si="32"/>
        <v>C14</v>
      </c>
      <c r="C25" s="13">
        <v>4.2266713499590214</v>
      </c>
      <c r="E25" s="11" t="str">
        <f t="shared" si="1"/>
        <v>C23</v>
      </c>
      <c r="F25" s="13">
        <v>23</v>
      </c>
      <c r="G25" s="22">
        <f t="shared" si="2"/>
        <v>324.63411999999994</v>
      </c>
      <c r="H25" s="21">
        <f t="shared" si="3"/>
        <v>5.7826987635428475</v>
      </c>
      <c r="I25" s="22">
        <f t="shared" si="4"/>
        <v>1177.5244749826888</v>
      </c>
      <c r="J25" s="22">
        <f t="shared" si="5"/>
        <v>1436.2217526468912</v>
      </c>
      <c r="K25" s="1">
        <f t="shared" si="6"/>
        <v>0.18012349220267354</v>
      </c>
      <c r="L25" s="23">
        <f t="shared" si="7"/>
        <v>0.80076358742012632</v>
      </c>
      <c r="M25" s="24">
        <f t="shared" si="8"/>
        <v>0.91592200365757837</v>
      </c>
      <c r="N25" s="33">
        <f t="shared" si="33"/>
        <v>0.33567212455048562</v>
      </c>
      <c r="O25" s="23">
        <f t="shared" si="10"/>
        <v>-4.7084326104147181</v>
      </c>
      <c r="P25" s="22">
        <f t="shared" si="11"/>
        <v>22.664327875449512</v>
      </c>
      <c r="Q25" s="34">
        <f t="shared" si="12"/>
        <v>319.92568738958522</v>
      </c>
      <c r="R25" s="37">
        <v>280.84255636394238</v>
      </c>
      <c r="S25" s="63">
        <f t="shared" si="13"/>
        <v>-43.79156363605756</v>
      </c>
      <c r="T25" s="21">
        <f t="shared" si="14"/>
        <v>5.7680887419173823</v>
      </c>
      <c r="U25" s="22">
        <f t="shared" si="15"/>
        <v>1170.7037186204959</v>
      </c>
      <c r="V25" s="63">
        <f t="shared" si="16"/>
        <v>1430.9559566353071</v>
      </c>
      <c r="W25" s="23">
        <f t="shared" si="17"/>
        <v>0.18187298973670574</v>
      </c>
      <c r="X25" s="23">
        <f t="shared" si="18"/>
        <v>0.79995858292356847</v>
      </c>
      <c r="Y25" s="21">
        <f t="shared" si="19"/>
        <v>5.6377942146711524</v>
      </c>
      <c r="Z25" s="21">
        <f t="shared" si="20"/>
        <v>5.6377942706623871</v>
      </c>
      <c r="AA25" s="64">
        <f t="shared" si="21"/>
        <v>-5.5991234759744657E-8</v>
      </c>
      <c r="AB25" s="23">
        <f t="shared" si="22"/>
        <v>0.89796456118724322</v>
      </c>
      <c r="AC25" s="23">
        <f t="shared" si="23"/>
        <v>-0.38739191775249127</v>
      </c>
      <c r="AD25" s="65">
        <f t="shared" si="24"/>
        <v>2.7532013378960621E-3</v>
      </c>
      <c r="AE25" s="66">
        <f t="shared" si="25"/>
        <v>-2.8559542931844129E-3</v>
      </c>
      <c r="AF25" s="113">
        <v>-4</v>
      </c>
      <c r="AG25" s="80">
        <f t="shared" si="26"/>
        <v>0.42888226034585031</v>
      </c>
      <c r="AH25" s="34">
        <f t="shared" si="27"/>
        <v>318.61823999999996</v>
      </c>
      <c r="AI25" s="119">
        <f t="shared" si="28"/>
        <v>-6.634119999999939</v>
      </c>
      <c r="AJ25" s="1">
        <f t="shared" si="31"/>
        <v>0.61667313044668093</v>
      </c>
      <c r="AK25" s="116">
        <v>318</v>
      </c>
      <c r="AL25" s="119">
        <v>-4.2040399999999778</v>
      </c>
      <c r="AM25" s="1">
        <f t="shared" si="29"/>
        <v>0.44342861705525238</v>
      </c>
      <c r="AN25" s="116">
        <v>312</v>
      </c>
      <c r="AO25" s="119">
        <v>-4.2040399999999778</v>
      </c>
      <c r="AP25" s="1">
        <f t="shared" si="30"/>
        <v>0.44342861705525238</v>
      </c>
      <c r="AQ25" s="116">
        <v>328.49127889072372</v>
      </c>
    </row>
    <row r="26" spans="2:43" x14ac:dyDescent="0.2">
      <c r="B26" s="11" t="str">
        <f t="shared" si="32"/>
        <v>C15</v>
      </c>
      <c r="C26" s="13">
        <v>3.4305116496897319</v>
      </c>
      <c r="E26" s="11" t="str">
        <f t="shared" si="1"/>
        <v>C24</v>
      </c>
      <c r="F26" s="13">
        <v>24</v>
      </c>
      <c r="G26" s="22">
        <f t="shared" si="2"/>
        <v>338.66099999999994</v>
      </c>
      <c r="H26" s="21">
        <f t="shared" si="3"/>
        <v>5.8249996070468661</v>
      </c>
      <c r="I26" s="22">
        <f t="shared" si="4"/>
        <v>1197.2493710891199</v>
      </c>
      <c r="J26" s="22">
        <f t="shared" si="5"/>
        <v>1451.3452361670829</v>
      </c>
      <c r="K26" s="1">
        <f t="shared" si="6"/>
        <v>0.17507610094825898</v>
      </c>
      <c r="L26" s="23">
        <f t="shared" si="7"/>
        <v>0.80302307374147053</v>
      </c>
      <c r="M26" s="24">
        <f t="shared" si="8"/>
        <v>0.92081331420527757</v>
      </c>
      <c r="N26" s="33">
        <f t="shared" si="33"/>
        <v>0.34302099215314613</v>
      </c>
      <c r="O26" s="23">
        <f t="shared" si="10"/>
        <v>-4.8115142944131435</v>
      </c>
      <c r="P26" s="22">
        <f t="shared" si="11"/>
        <v>23.656979007846854</v>
      </c>
      <c r="Q26" s="34">
        <f t="shared" si="12"/>
        <v>333.8494857055868</v>
      </c>
      <c r="R26" s="37">
        <v>291.13186502944603</v>
      </c>
      <c r="S26" s="63">
        <f t="shared" si="13"/>
        <v>-47.529134970553912</v>
      </c>
      <c r="T26" s="21">
        <f t="shared" si="14"/>
        <v>5.8106902498072195</v>
      </c>
      <c r="U26" s="22">
        <f t="shared" si="15"/>
        <v>1190.5813374190077</v>
      </c>
      <c r="V26" s="63">
        <f t="shared" si="16"/>
        <v>1446.2498847565989</v>
      </c>
      <c r="W26" s="23">
        <f t="shared" si="17"/>
        <v>0.17678034068131987</v>
      </c>
      <c r="X26" s="23">
        <f t="shared" si="18"/>
        <v>0.80227051160991603</v>
      </c>
      <c r="Y26" s="21">
        <f t="shared" si="19"/>
        <v>5.6737763089636468</v>
      </c>
      <c r="Z26" s="21">
        <f t="shared" si="20"/>
        <v>5.6737768979994208</v>
      </c>
      <c r="AA26" s="64">
        <f t="shared" si="21"/>
        <v>-5.8903577393465412E-7</v>
      </c>
      <c r="AB26" s="23">
        <f t="shared" si="22"/>
        <v>0.90260097245444293</v>
      </c>
      <c r="AC26" s="23">
        <f t="shared" si="23"/>
        <v>-0.39447068596590529</v>
      </c>
      <c r="AD26" s="65">
        <f t="shared" si="24"/>
        <v>2.8335842363842699E-3</v>
      </c>
      <c r="AE26" s="66">
        <f t="shared" si="25"/>
        <v>-2.9805086968227412E-3</v>
      </c>
      <c r="AF26" s="113">
        <v>-4</v>
      </c>
      <c r="AG26" s="80">
        <f t="shared" si="26"/>
        <v>0.42888226034585031</v>
      </c>
      <c r="AH26" s="34">
        <f t="shared" si="27"/>
        <v>332.64511999999996</v>
      </c>
      <c r="AI26" s="119">
        <f t="shared" si="28"/>
        <v>-7.6609999999999445</v>
      </c>
      <c r="AJ26" s="1">
        <f t="shared" si="31"/>
        <v>0.68988114249212551</v>
      </c>
      <c r="AK26" s="116">
        <v>331</v>
      </c>
      <c r="AL26" s="119">
        <v>-4.2040399999999778</v>
      </c>
      <c r="AM26" s="1">
        <f t="shared" si="29"/>
        <v>0.44342861705525238</v>
      </c>
      <c r="AN26" s="116">
        <v>324</v>
      </c>
      <c r="AO26" s="119">
        <v>-4.2040399999999778</v>
      </c>
      <c r="AP26" s="1">
        <f t="shared" si="30"/>
        <v>0.44342861705525238</v>
      </c>
      <c r="AQ26" s="116">
        <v>341.77151677856324</v>
      </c>
    </row>
    <row r="27" spans="2:43" x14ac:dyDescent="0.2">
      <c r="B27" s="11" t="str">
        <f t="shared" si="32"/>
        <v>C16</v>
      </c>
      <c r="C27" s="13">
        <v>2.7748507200561998</v>
      </c>
      <c r="E27" s="11" t="str">
        <f t="shared" si="1"/>
        <v>C25</v>
      </c>
      <c r="F27" s="13">
        <v>25</v>
      </c>
      <c r="G27" s="22">
        <f t="shared" si="2"/>
        <v>352.68787999999995</v>
      </c>
      <c r="H27" s="21">
        <f t="shared" si="3"/>
        <v>5.8655834731698553</v>
      </c>
      <c r="I27" s="22">
        <f t="shared" si="4"/>
        <v>1216.1309851765016</v>
      </c>
      <c r="J27" s="22">
        <f t="shared" si="5"/>
        <v>1465.6808913973243</v>
      </c>
      <c r="K27" s="1">
        <f t="shared" si="6"/>
        <v>0.17026209981008311</v>
      </c>
      <c r="L27" s="23">
        <f t="shared" si="7"/>
        <v>0.80509304898252332</v>
      </c>
      <c r="M27" s="24">
        <f t="shared" si="8"/>
        <v>0.92536195890002459</v>
      </c>
      <c r="N27" s="33">
        <f t="shared" si="33"/>
        <v>0.34993660167810137</v>
      </c>
      <c r="O27" s="23">
        <f t="shared" si="10"/>
        <v>-4.9085187193465458</v>
      </c>
      <c r="P27" s="22">
        <f t="shared" si="11"/>
        <v>24.650063398321898</v>
      </c>
      <c r="Q27" s="34">
        <f t="shared" si="12"/>
        <v>347.7793612806534</v>
      </c>
      <c r="R27" s="37">
        <v>301.33770064410515</v>
      </c>
      <c r="S27" s="63">
        <f t="shared" si="13"/>
        <v>-51.350179355894795</v>
      </c>
      <c r="T27" s="21">
        <f t="shared" si="14"/>
        <v>5.8515682593907705</v>
      </c>
      <c r="U27" s="22">
        <f t="shared" si="15"/>
        <v>1209.61589386949</v>
      </c>
      <c r="V27" s="63">
        <f t="shared" si="16"/>
        <v>1460.7496530438339</v>
      </c>
      <c r="W27" s="23">
        <f t="shared" si="17"/>
        <v>0.17192114928868507</v>
      </c>
      <c r="X27" s="23">
        <f t="shared" si="18"/>
        <v>0.80438888509821571</v>
      </c>
      <c r="Y27" s="21">
        <f t="shared" si="19"/>
        <v>5.7082315649069999</v>
      </c>
      <c r="Z27" s="21">
        <f t="shared" si="20"/>
        <v>5.7082323057675595</v>
      </c>
      <c r="AA27" s="64">
        <f t="shared" si="21"/>
        <v>-7.4086055956712471E-7</v>
      </c>
      <c r="AB27" s="23">
        <f t="shared" si="22"/>
        <v>0.90692977960618715</v>
      </c>
      <c r="AC27" s="23">
        <f t="shared" si="23"/>
        <v>-0.4011262509054413</v>
      </c>
      <c r="AD27" s="65">
        <f t="shared" si="24"/>
        <v>2.9086932629514492E-3</v>
      </c>
      <c r="AE27" s="66">
        <f t="shared" si="25"/>
        <v>-3.0999986255044083E-3</v>
      </c>
      <c r="AF27" s="113">
        <v>-4</v>
      </c>
      <c r="AG27" s="80">
        <f t="shared" si="26"/>
        <v>0.42888226034585031</v>
      </c>
      <c r="AH27" s="34">
        <f t="shared" si="27"/>
        <v>346.67199999999997</v>
      </c>
      <c r="AI27" s="119">
        <f t="shared" si="28"/>
        <v>-7.6878799999999501</v>
      </c>
      <c r="AJ27" s="1">
        <f t="shared" si="31"/>
        <v>0.69179746315645041</v>
      </c>
      <c r="AK27" s="116">
        <v>345</v>
      </c>
      <c r="AL27" s="119">
        <v>-4.2040399999999778</v>
      </c>
      <c r="AM27" s="1">
        <f t="shared" si="29"/>
        <v>0.44342861705525238</v>
      </c>
      <c r="AN27" s="116">
        <v>337</v>
      </c>
      <c r="AO27" s="119">
        <v>-4.2040399999999778</v>
      </c>
      <c r="AP27" s="1">
        <f t="shared" si="30"/>
        <v>0.44342861705525238</v>
      </c>
      <c r="AQ27" s="116">
        <v>355.00569529647959</v>
      </c>
    </row>
    <row r="28" spans="2:43" x14ac:dyDescent="0.2">
      <c r="B28" s="11" t="str">
        <f t="shared" si="32"/>
        <v>C17</v>
      </c>
      <c r="C28" s="13">
        <v>2.5875190258751908</v>
      </c>
      <c r="E28" s="11" t="str">
        <f t="shared" si="1"/>
        <v>C26</v>
      </c>
      <c r="F28" s="13">
        <v>26</v>
      </c>
      <c r="G28" s="22">
        <f t="shared" si="2"/>
        <v>366.71475999999996</v>
      </c>
      <c r="H28" s="21">
        <f t="shared" si="3"/>
        <v>5.9045843251535182</v>
      </c>
      <c r="I28" s="22">
        <f t="shared" si="4"/>
        <v>1234.2257971538861</v>
      </c>
      <c r="J28" s="22">
        <f t="shared" si="5"/>
        <v>1479.2945055810642</v>
      </c>
      <c r="K28" s="1">
        <f t="shared" si="6"/>
        <v>0.1656659356893343</v>
      </c>
      <c r="L28" s="23">
        <f t="shared" si="7"/>
        <v>0.80699424935707431</v>
      </c>
      <c r="M28" s="24">
        <f t="shared" si="8"/>
        <v>0.92960272783341213</v>
      </c>
      <c r="N28" s="33">
        <f t="shared" si="33"/>
        <v>0.35645943059416285</v>
      </c>
      <c r="O28" s="23">
        <f t="shared" si="10"/>
        <v>-5.0000136578126444</v>
      </c>
      <c r="P28" s="22">
        <f t="shared" si="11"/>
        <v>25.64354056940584</v>
      </c>
      <c r="Q28" s="34">
        <f t="shared" si="12"/>
        <v>361.71474634218731</v>
      </c>
      <c r="R28" s="37">
        <v>311.46430124168052</v>
      </c>
      <c r="S28" s="63">
        <f t="shared" si="13"/>
        <v>-55.250458758319439</v>
      </c>
      <c r="T28" s="21">
        <f t="shared" si="14"/>
        <v>5.8908559076658067</v>
      </c>
      <c r="U28" s="22">
        <f t="shared" si="15"/>
        <v>1227.862629343814</v>
      </c>
      <c r="V28" s="63">
        <f t="shared" si="16"/>
        <v>1474.5207936369136</v>
      </c>
      <c r="W28" s="23">
        <f t="shared" si="17"/>
        <v>0.16728022104368967</v>
      </c>
      <c r="X28" s="23">
        <f t="shared" si="18"/>
        <v>0.80633472096339631</v>
      </c>
      <c r="Y28" s="21">
        <f t="shared" si="19"/>
        <v>5.7412847289046702</v>
      </c>
      <c r="Z28" s="21">
        <f t="shared" si="20"/>
        <v>5.7412852547336222</v>
      </c>
      <c r="AA28" s="64">
        <f t="shared" si="21"/>
        <v>-5.2582895193609147E-7</v>
      </c>
      <c r="AB28" s="23">
        <f t="shared" si="22"/>
        <v>0.91098186651777324</v>
      </c>
      <c r="AC28" s="23">
        <f t="shared" si="23"/>
        <v>-0.40740004973644917</v>
      </c>
      <c r="AD28" s="65">
        <f t="shared" si="24"/>
        <v>2.9790477639590109E-3</v>
      </c>
      <c r="AE28" s="66">
        <f t="shared" si="25"/>
        <v>-3.2147313593040199E-3</v>
      </c>
      <c r="AF28" s="113">
        <v>-4</v>
      </c>
      <c r="AG28" s="80">
        <f t="shared" si="26"/>
        <v>0.42888226034585031</v>
      </c>
      <c r="AH28" s="34">
        <f t="shared" si="27"/>
        <v>360.69887999999997</v>
      </c>
      <c r="AI28" s="119">
        <f t="shared" si="28"/>
        <v>-7.7147599999999557</v>
      </c>
      <c r="AJ28" s="1">
        <f t="shared" si="31"/>
        <v>0.6937137838207752</v>
      </c>
      <c r="AK28" s="116">
        <v>359</v>
      </c>
      <c r="AL28" s="119">
        <v>-4.2040399999999778</v>
      </c>
      <c r="AM28" s="1">
        <f t="shared" si="29"/>
        <v>0.44342861705525238</v>
      </c>
      <c r="AN28" s="116">
        <v>349</v>
      </c>
      <c r="AO28" s="119">
        <v>-4.2040399999999778</v>
      </c>
      <c r="AP28" s="1">
        <f t="shared" si="30"/>
        <v>0.44342861705525238</v>
      </c>
      <c r="AQ28" s="116">
        <v>368.06115210641639</v>
      </c>
    </row>
    <row r="29" spans="2:43" x14ac:dyDescent="0.2">
      <c r="B29" s="11" t="str">
        <f t="shared" si="32"/>
        <v>C18</v>
      </c>
      <c r="C29" s="13">
        <v>2.5055614096709986</v>
      </c>
      <c r="E29" s="11" t="str">
        <f t="shared" si="1"/>
        <v>C27</v>
      </c>
      <c r="F29" s="13">
        <v>27</v>
      </c>
      <c r="G29" s="22">
        <f t="shared" si="2"/>
        <v>380.74163999999996</v>
      </c>
      <c r="H29" s="21">
        <f t="shared" si="3"/>
        <v>5.942121034869742</v>
      </c>
      <c r="I29" s="22">
        <f t="shared" si="4"/>
        <v>1251.5855369636731</v>
      </c>
      <c r="J29" s="22">
        <f t="shared" si="5"/>
        <v>1492.2447581976774</v>
      </c>
      <c r="K29" s="1">
        <f t="shared" si="6"/>
        <v>0.16127328972806765</v>
      </c>
      <c r="L29" s="23">
        <f t="shared" si="7"/>
        <v>0.80874470709516555</v>
      </c>
      <c r="M29" s="24">
        <f t="shared" si="8"/>
        <v>0.9335658557167652</v>
      </c>
      <c r="N29" s="33">
        <f t="shared" si="33"/>
        <v>0.36262451444880511</v>
      </c>
      <c r="O29" s="23">
        <f t="shared" si="10"/>
        <v>-5.0864905492316552</v>
      </c>
      <c r="P29" s="22">
        <f t="shared" si="11"/>
        <v>26.637375485551196</v>
      </c>
      <c r="Q29" s="34">
        <f t="shared" si="12"/>
        <v>375.65514945076831</v>
      </c>
      <c r="R29" s="37">
        <v>321.51549188935047</v>
      </c>
      <c r="S29" s="63">
        <f t="shared" si="13"/>
        <v>-59.22614811064949</v>
      </c>
      <c r="T29" s="21">
        <f t="shared" si="14"/>
        <v>5.9286715668292089</v>
      </c>
      <c r="U29" s="22">
        <f t="shared" si="15"/>
        <v>1245.3723374535764</v>
      </c>
      <c r="V29" s="63">
        <f t="shared" si="16"/>
        <v>1487.6219049932149</v>
      </c>
      <c r="W29" s="23">
        <f t="shared" si="17"/>
        <v>0.16284350662391156</v>
      </c>
      <c r="X29" s="23">
        <f t="shared" si="18"/>
        <v>0.8081263307909835</v>
      </c>
      <c r="Y29" s="21">
        <f t="shared" si="19"/>
        <v>5.7730457287977801</v>
      </c>
      <c r="Z29" s="21">
        <f t="shared" si="20"/>
        <v>5.7730462119139991</v>
      </c>
      <c r="AA29" s="64">
        <f t="shared" si="21"/>
        <v>-4.8311621902996649E-7</v>
      </c>
      <c r="AB29" s="23">
        <f t="shared" si="22"/>
        <v>0.91478401481521388</v>
      </c>
      <c r="AC29" s="23">
        <f t="shared" si="23"/>
        <v>-0.41332743173213671</v>
      </c>
      <c r="AD29" s="65">
        <f t="shared" si="24"/>
        <v>3.0451014626496145E-3</v>
      </c>
      <c r="AE29" s="66">
        <f t="shared" si="25"/>
        <v>-3.3249869793963104E-3</v>
      </c>
      <c r="AF29" s="113">
        <v>-4</v>
      </c>
      <c r="AG29" s="80">
        <f t="shared" si="26"/>
        <v>0.42888226034585031</v>
      </c>
      <c r="AH29" s="34">
        <f t="shared" si="27"/>
        <v>374.72575999999998</v>
      </c>
      <c r="AI29" s="119">
        <f t="shared" si="28"/>
        <v>-6.7416399999999612</v>
      </c>
      <c r="AJ29" s="1">
        <f t="shared" si="31"/>
        <v>0.62433841310398042</v>
      </c>
      <c r="AK29" s="116">
        <v>374</v>
      </c>
      <c r="AL29" s="119">
        <v>-4.2040399999999778</v>
      </c>
      <c r="AM29" s="1">
        <f t="shared" si="29"/>
        <v>0.44342861705525238</v>
      </c>
      <c r="AN29" s="116">
        <v>360</v>
      </c>
      <c r="AO29" s="119">
        <v>-4.2040399999999778</v>
      </c>
      <c r="AP29" s="1">
        <f t="shared" si="30"/>
        <v>0.44342861705525238</v>
      </c>
      <c r="AQ29" s="116">
        <v>380.81396265441003</v>
      </c>
    </row>
    <row r="30" spans="2:43" x14ac:dyDescent="0.2">
      <c r="B30" s="11" t="str">
        <f t="shared" si="32"/>
        <v>C19</v>
      </c>
      <c r="C30" s="13">
        <v>2.2713967919447371</v>
      </c>
      <c r="E30" s="11" t="str">
        <f t="shared" si="1"/>
        <v>C28</v>
      </c>
      <c r="F30" s="13">
        <v>28</v>
      </c>
      <c r="G30" s="22">
        <f t="shared" si="2"/>
        <v>394.76851999999991</v>
      </c>
      <c r="H30" s="21">
        <f t="shared" si="3"/>
        <v>5.9782995678047151</v>
      </c>
      <c r="I30" s="22">
        <f t="shared" si="4"/>
        <v>1268.2576631776503</v>
      </c>
      <c r="J30" s="22">
        <f t="shared" si="5"/>
        <v>1504.584154611133</v>
      </c>
      <c r="K30" s="1">
        <f t="shared" si="6"/>
        <v>0.15707096921711394</v>
      </c>
      <c r="L30" s="23">
        <f t="shared" si="7"/>
        <v>0.81036016003296341</v>
      </c>
      <c r="M30" s="24">
        <f t="shared" si="8"/>
        <v>0.93727774384410778</v>
      </c>
      <c r="N30" s="33">
        <f t="shared" si="33"/>
        <v>0.36846238362226691</v>
      </c>
      <c r="O30" s="23">
        <f t="shared" si="10"/>
        <v>-5.1683776395835253</v>
      </c>
      <c r="P30" s="22">
        <f t="shared" si="11"/>
        <v>27.631537616377731</v>
      </c>
      <c r="Q30" s="34">
        <f t="shared" si="12"/>
        <v>389.60014236041638</v>
      </c>
      <c r="R30" s="37">
        <v>331.49501830235096</v>
      </c>
      <c r="S30" s="63">
        <f t="shared" si="13"/>
        <v>-63.273501697648953</v>
      </c>
      <c r="T30" s="21">
        <f t="shared" si="14"/>
        <v>5.9651209371697931</v>
      </c>
      <c r="U30" s="22">
        <f t="shared" si="15"/>
        <v>1262.1917766456545</v>
      </c>
      <c r="V30" s="63">
        <f t="shared" si="16"/>
        <v>1500.105533597628</v>
      </c>
      <c r="W30" s="23">
        <f t="shared" si="17"/>
        <v>0.15859801302205512</v>
      </c>
      <c r="X30" s="23">
        <f t="shared" si="18"/>
        <v>0.80977972311544411</v>
      </c>
      <c r="Y30" s="21">
        <f t="shared" si="19"/>
        <v>5.8036127817674519</v>
      </c>
      <c r="Z30" s="21">
        <f t="shared" si="20"/>
        <v>5.8036132400168414</v>
      </c>
      <c r="AA30" s="64">
        <f t="shared" si="21"/>
        <v>-4.5824938954552863E-7</v>
      </c>
      <c r="AB30" s="23">
        <f t="shared" si="22"/>
        <v>0.91835967151722675</v>
      </c>
      <c r="AC30" s="23">
        <f t="shared" si="23"/>
        <v>-0.41893911956004315</v>
      </c>
      <c r="AD30" s="65">
        <f t="shared" si="24"/>
        <v>3.1072524955650851E-3</v>
      </c>
      <c r="AE30" s="66">
        <f t="shared" si="25"/>
        <v>-3.431025370990156E-3</v>
      </c>
      <c r="AF30" s="113">
        <v>-4</v>
      </c>
      <c r="AG30" s="80">
        <f t="shared" si="26"/>
        <v>0.42888226034585031</v>
      </c>
      <c r="AH30" s="34">
        <f t="shared" si="27"/>
        <v>388.75263999999993</v>
      </c>
      <c r="AI30" s="119">
        <f t="shared" si="28"/>
        <v>-6.7685199999999099</v>
      </c>
      <c r="AJ30" s="1">
        <f t="shared" si="31"/>
        <v>0.62625473376830132</v>
      </c>
      <c r="AK30" s="116">
        <v>388</v>
      </c>
      <c r="AL30" s="119">
        <v>-4.2040399999999778</v>
      </c>
      <c r="AM30" s="1">
        <f t="shared" si="29"/>
        <v>0.44342861705525238</v>
      </c>
      <c r="AN30" s="116">
        <v>372</v>
      </c>
      <c r="AO30" s="119">
        <v>-4.2040399999999778</v>
      </c>
      <c r="AP30" s="1">
        <f t="shared" si="30"/>
        <v>0.44342861705525238</v>
      </c>
      <c r="AQ30" s="116">
        <v>393.3894956488034</v>
      </c>
    </row>
    <row r="31" spans="2:43" x14ac:dyDescent="0.2">
      <c r="B31" s="11" t="str">
        <f t="shared" si="32"/>
        <v>C20</v>
      </c>
      <c r="C31" s="13">
        <v>1.9084416344690314</v>
      </c>
      <c r="E31" s="11" t="str">
        <f t="shared" si="1"/>
        <v>C29</v>
      </c>
      <c r="F31" s="13">
        <v>29</v>
      </c>
      <c r="G31" s="26">
        <f t="shared" si="2"/>
        <v>408.79539999999992</v>
      </c>
      <c r="H31" s="25">
        <f t="shared" si="3"/>
        <v>6.0132147863800016</v>
      </c>
      <c r="I31" s="26">
        <f t="shared" si="4"/>
        <v>1284.2857844914897</v>
      </c>
      <c r="J31" s="26">
        <f t="shared" si="5"/>
        <v>1516.3598161975781</v>
      </c>
      <c r="K31" s="27">
        <f t="shared" si="6"/>
        <v>0.15304680935692228</v>
      </c>
      <c r="L31" s="28">
        <f t="shared" si="7"/>
        <v>0.81185438909795582</v>
      </c>
      <c r="M31" s="29">
        <f t="shared" si="8"/>
        <v>0.94076154896856512</v>
      </c>
      <c r="N31" s="35">
        <f>0.7*(M31-L31)/(0.2456-1.77/G31)</f>
        <v>0.37399981342174599</v>
      </c>
      <c r="O31" s="28">
        <f t="shared" si="10"/>
        <v>-5.2460505028892044</v>
      </c>
      <c r="P31" s="26">
        <f t="shared" si="11"/>
        <v>28.626000186578253</v>
      </c>
      <c r="Q31" s="36">
        <f>G31-N31*$C$12</f>
        <v>403.54934949711071</v>
      </c>
      <c r="R31" s="39">
        <v>341.40625091855071</v>
      </c>
      <c r="S31" s="67">
        <f>R31-G31</f>
        <v>-67.389149081449204</v>
      </c>
      <c r="T31" s="25">
        <f t="shared" si="14"/>
        <v>6.0002987838179251</v>
      </c>
      <c r="U31" s="26">
        <f t="shared" si="15"/>
        <v>1278.3640405301546</v>
      </c>
      <c r="V31" s="67">
        <f t="shared" si="16"/>
        <v>1512.0189263841212</v>
      </c>
      <c r="W31" s="28">
        <f t="shared" si="17"/>
        <v>0.1545317203222677</v>
      </c>
      <c r="X31" s="28">
        <f t="shared" si="18"/>
        <v>0.81130893674973448</v>
      </c>
      <c r="Y31" s="25">
        <f t="shared" si="19"/>
        <v>5.8330731198545562</v>
      </c>
      <c r="Z31" s="25">
        <f t="shared" si="20"/>
        <v>5.8330739394140956</v>
      </c>
      <c r="AA31" s="68">
        <f t="shared" si="21"/>
        <v>-8.1955953934453873E-7</v>
      </c>
      <c r="AB31" s="28">
        <f>R31/($C$7+$C$6*R31)</f>
        <v>0.92172935290465385</v>
      </c>
      <c r="AC31" s="28">
        <f t="shared" si="23"/>
        <v>-0.42426171091988785</v>
      </c>
      <c r="AD31" s="69">
        <f t="shared" si="24"/>
        <v>3.1658516572733893E-3</v>
      </c>
      <c r="AE31" s="70">
        <f t="shared" si="25"/>
        <v>-3.5330838885343769E-3</v>
      </c>
      <c r="AF31" s="114">
        <v>-4</v>
      </c>
      <c r="AG31" s="81">
        <f t="shared" si="26"/>
        <v>0.42888226034585031</v>
      </c>
      <c r="AH31" s="36">
        <f t="shared" si="27"/>
        <v>402.77951999999993</v>
      </c>
      <c r="AI31" s="120">
        <f t="shared" si="28"/>
        <v>-6.7953999999999155</v>
      </c>
      <c r="AJ31" s="27">
        <f t="shared" si="31"/>
        <v>0.62817105443262622</v>
      </c>
      <c r="AK31" s="117">
        <v>402</v>
      </c>
      <c r="AL31" s="120">
        <v>-4.2040399999999778</v>
      </c>
      <c r="AM31" s="27">
        <f t="shared" si="29"/>
        <v>0.44342861705525238</v>
      </c>
      <c r="AN31" s="117">
        <v>382</v>
      </c>
      <c r="AO31" s="120">
        <v>-4.2040399999999778</v>
      </c>
      <c r="AP31" s="27">
        <f t="shared" si="30"/>
        <v>0.44342861705525238</v>
      </c>
      <c r="AQ31" s="117">
        <v>405.63235424316235</v>
      </c>
    </row>
    <row r="32" spans="2:43" x14ac:dyDescent="0.2">
      <c r="B32" s="11" t="str">
        <f t="shared" si="32"/>
        <v>C21</v>
      </c>
      <c r="C32" s="13">
        <v>1.7562346329469618</v>
      </c>
      <c r="E32" s="73" t="str">
        <f t="shared" si="1"/>
        <v>C30+</v>
      </c>
      <c r="F32" s="74" t="s">
        <v>104</v>
      </c>
      <c r="G32" s="58" cm="1">
        <f t="array" ref="G32">$C$41/(100/$C$3-SUMPRODUCT($C$18:$C$40,1/G9:G31))</f>
        <v>310.79269197576076</v>
      </c>
      <c r="Q32" s="58" cm="1">
        <f t="array" ref="Q32">$C$41/(100/$C$3-SUMPRODUCT($C$18:$C$40,1/Q9:Q31))</f>
        <v>375.24065619317867</v>
      </c>
      <c r="R32" s="58" cm="1">
        <f t="array" ref="R32">$C$41/(100/$C$3-SUMPRODUCT($C$18:$C$40,1/R9:R31))</f>
        <v>815.64742822159928</v>
      </c>
      <c r="AH32" s="82" cm="1">
        <f t="array" ref="AH32">$C$41/(100/$C$3-SUMPRODUCT($C$18:$C$40,1/AH9:AH31))</f>
        <v>675.40040031254443</v>
      </c>
      <c r="AK32" s="82" cm="1">
        <f t="array" ref="AK32">$C$41/(100/$C$3-SUMPRODUCT($C$18:$C$40,1/AK9:AK31))</f>
        <v>801.37688935894573</v>
      </c>
      <c r="AN32" s="82" cm="1">
        <f t="array" ref="AN32">$C$41/(100/$C$3-SUMPRODUCT($C$18:$C$40,1/AN9:AN31))</f>
        <v>838.24686215748477</v>
      </c>
      <c r="AQ32" s="122">
        <v>537.71774293837757</v>
      </c>
    </row>
    <row r="33" spans="2:3" x14ac:dyDescent="0.2">
      <c r="B33" s="11" t="str">
        <f t="shared" si="32"/>
        <v>C22</v>
      </c>
      <c r="C33" s="13">
        <v>1.5806111696522658</v>
      </c>
    </row>
    <row r="34" spans="2:3" x14ac:dyDescent="0.2">
      <c r="B34" s="11" t="str">
        <f t="shared" si="32"/>
        <v>C23</v>
      </c>
      <c r="C34" s="13">
        <v>1.463528860789135</v>
      </c>
    </row>
    <row r="35" spans="2:3" x14ac:dyDescent="0.2">
      <c r="B35" s="11" t="str">
        <f t="shared" si="32"/>
        <v>C24</v>
      </c>
      <c r="C35" s="13">
        <v>1.334738321039691</v>
      </c>
    </row>
    <row r="36" spans="2:3" x14ac:dyDescent="0.2">
      <c r="B36" s="11" t="str">
        <f t="shared" si="32"/>
        <v>C25</v>
      </c>
      <c r="C36" s="13">
        <v>1.2761971666081258</v>
      </c>
    </row>
    <row r="37" spans="2:3" x14ac:dyDescent="0.2">
      <c r="B37" s="11" t="str">
        <f t="shared" si="32"/>
        <v>C26</v>
      </c>
      <c r="C37" s="13">
        <v>1.159114857744995</v>
      </c>
    </row>
    <row r="38" spans="2:3" x14ac:dyDescent="0.2">
      <c r="B38" s="11" t="str">
        <f t="shared" si="32"/>
        <v>C27</v>
      </c>
      <c r="C38" s="13">
        <v>1.0303243179955508</v>
      </c>
    </row>
    <row r="39" spans="2:3" x14ac:dyDescent="0.2">
      <c r="B39" s="11" t="str">
        <f t="shared" si="32"/>
        <v>C28</v>
      </c>
      <c r="C39" s="13">
        <v>0.97178316356398542</v>
      </c>
    </row>
    <row r="40" spans="2:3" x14ac:dyDescent="0.2">
      <c r="B40" s="11" t="str">
        <f t="shared" si="32"/>
        <v>C29</v>
      </c>
      <c r="C40" s="13">
        <v>0.88982554735979391</v>
      </c>
    </row>
    <row r="41" spans="2:3" x14ac:dyDescent="0.2">
      <c r="B41" s="7" t="str">
        <f t="shared" si="32"/>
        <v>C30+</v>
      </c>
      <c r="C41" s="8">
        <v>14.085001756234632</v>
      </c>
    </row>
    <row r="42" spans="2:3" x14ac:dyDescent="0.2">
      <c r="B42" s="76" t="s">
        <v>32</v>
      </c>
      <c r="C42" s="77">
        <f>SUM(C18:C41)</f>
        <v>100.00000000000001</v>
      </c>
    </row>
  </sheetData>
  <mergeCells count="10">
    <mergeCell ref="AI4:AK4"/>
    <mergeCell ref="AL4:AN4"/>
    <mergeCell ref="AO4:AQ4"/>
    <mergeCell ref="R4:AE4"/>
    <mergeCell ref="AF4:AH4"/>
    <mergeCell ref="B14:C14"/>
    <mergeCell ref="B5:C5"/>
    <mergeCell ref="B2:C2"/>
    <mergeCell ref="G4:M4"/>
    <mergeCell ref="N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028A-F2AE-4F8B-8C05-A8D779FFEA79}">
  <dimension ref="B2:AD32"/>
  <sheetViews>
    <sheetView workbookViewId="0"/>
  </sheetViews>
  <sheetFormatPr defaultColWidth="8.7109375" defaultRowHeight="14.25" x14ac:dyDescent="0.2"/>
  <cols>
    <col min="1" max="5" width="8.7109375" style="1"/>
    <col min="6" max="6" width="9.5703125" style="1" bestFit="1" customWidth="1"/>
    <col min="7" max="7" width="12.28515625" style="1" bestFit="1" customWidth="1"/>
    <col min="8" max="8" width="9.5703125" style="1" customWidth="1"/>
    <col min="9" max="11" width="8.7109375" style="1"/>
    <col min="12" max="13" width="13.140625" style="1" bestFit="1" customWidth="1"/>
    <col min="14" max="14" width="13.140625" style="1" customWidth="1"/>
    <col min="15" max="17" width="9.42578125" style="1" bestFit="1" customWidth="1"/>
    <col min="18" max="18" width="10.42578125" style="1" bestFit="1" customWidth="1"/>
    <col min="19" max="19" width="12.28515625" style="1" bestFit="1" customWidth="1"/>
    <col min="20" max="20" width="10.42578125" style="1" customWidth="1"/>
    <col min="21" max="23" width="9.42578125" style="1" bestFit="1" customWidth="1"/>
    <col min="24" max="24" width="10.42578125" style="1" bestFit="1" customWidth="1"/>
    <col min="25" max="25" width="12.28515625" style="1" bestFit="1" customWidth="1"/>
    <col min="26" max="26" width="10.42578125" style="1" customWidth="1"/>
    <col min="27" max="27" width="8.7109375" style="1"/>
    <col min="28" max="28" width="11.42578125" style="1" bestFit="1" customWidth="1"/>
    <col min="29" max="29" width="10.85546875" style="1" bestFit="1" customWidth="1"/>
    <col min="30" max="16384" width="8.7109375" style="1"/>
  </cols>
  <sheetData>
    <row r="2" spans="2:30" ht="15" x14ac:dyDescent="0.25">
      <c r="C2" s="2"/>
      <c r="O2" s="131" t="s">
        <v>105</v>
      </c>
      <c r="P2" s="131"/>
      <c r="Q2" s="131"/>
      <c r="R2" s="131"/>
      <c r="S2" s="131"/>
      <c r="T2" s="131"/>
      <c r="U2" s="131" t="s">
        <v>105</v>
      </c>
      <c r="V2" s="131"/>
      <c r="W2" s="131"/>
      <c r="X2" s="131"/>
      <c r="Y2" s="131"/>
      <c r="Z2" s="131"/>
    </row>
    <row r="3" spans="2:30" ht="15" x14ac:dyDescent="0.25">
      <c r="C3" s="2"/>
      <c r="E3" s="2"/>
      <c r="F3" s="2"/>
      <c r="G3" s="2" t="s">
        <v>106</v>
      </c>
      <c r="H3" s="2"/>
      <c r="M3" s="2" t="s">
        <v>106</v>
      </c>
      <c r="S3" s="2" t="s">
        <v>106</v>
      </c>
      <c r="Y3" s="2" t="s">
        <v>106</v>
      </c>
    </row>
    <row r="4" spans="2:30" ht="15" x14ac:dyDescent="0.25">
      <c r="C4" s="2"/>
      <c r="D4" s="2"/>
      <c r="E4" s="2" t="s">
        <v>107</v>
      </c>
      <c r="F4" s="2" t="s">
        <v>108</v>
      </c>
      <c r="G4" s="2" t="s">
        <v>109</v>
      </c>
      <c r="H4" s="2" t="s">
        <v>52</v>
      </c>
      <c r="I4" s="2"/>
      <c r="J4" s="2"/>
      <c r="K4" s="2" t="s">
        <v>107</v>
      </c>
      <c r="L4" s="2" t="s">
        <v>108</v>
      </c>
      <c r="M4" s="2" t="s">
        <v>109</v>
      </c>
      <c r="N4" s="2" t="s">
        <v>52</v>
      </c>
      <c r="O4" s="2"/>
      <c r="P4" s="2"/>
      <c r="Q4" s="2" t="s">
        <v>107</v>
      </c>
      <c r="R4" s="2" t="s">
        <v>108</v>
      </c>
      <c r="S4" s="2" t="s">
        <v>109</v>
      </c>
      <c r="T4" s="2" t="s">
        <v>52</v>
      </c>
      <c r="U4" s="2"/>
      <c r="V4" s="2"/>
      <c r="W4" s="2" t="s">
        <v>107</v>
      </c>
      <c r="X4" s="2" t="s">
        <v>108</v>
      </c>
      <c r="Y4" s="2" t="s">
        <v>109</v>
      </c>
      <c r="Z4" s="2" t="s">
        <v>52</v>
      </c>
    </row>
    <row r="5" spans="2:30" s="2" customFormat="1" ht="16.5" x14ac:dyDescent="0.3">
      <c r="B5" s="2" t="s">
        <v>3</v>
      </c>
      <c r="C5" s="2" t="s">
        <v>80</v>
      </c>
      <c r="D5" s="2" t="s">
        <v>110</v>
      </c>
      <c r="E5" s="2" t="s">
        <v>111</v>
      </c>
      <c r="F5" s="2" t="s">
        <v>111</v>
      </c>
      <c r="G5" s="2" t="s">
        <v>111</v>
      </c>
      <c r="H5" s="2" t="s">
        <v>111</v>
      </c>
      <c r="I5" s="2" t="s">
        <v>80</v>
      </c>
      <c r="J5" s="2" t="s">
        <v>110</v>
      </c>
      <c r="K5" s="2" t="s">
        <v>111</v>
      </c>
      <c r="L5" s="2" t="s">
        <v>111</v>
      </c>
      <c r="M5" s="2" t="s">
        <v>111</v>
      </c>
      <c r="N5" s="2" t="s">
        <v>111</v>
      </c>
      <c r="O5" s="2" t="s">
        <v>80</v>
      </c>
      <c r="P5" s="2" t="s">
        <v>110</v>
      </c>
      <c r="Q5" s="2" t="s">
        <v>111</v>
      </c>
      <c r="R5" s="2" t="s">
        <v>111</v>
      </c>
      <c r="S5" s="2" t="s">
        <v>111</v>
      </c>
      <c r="T5" s="2" t="s">
        <v>111</v>
      </c>
      <c r="U5" s="2" t="s">
        <v>80</v>
      </c>
      <c r="V5" s="2" t="s">
        <v>110</v>
      </c>
      <c r="W5" s="2" t="s">
        <v>111</v>
      </c>
      <c r="X5" s="2" t="s">
        <v>111</v>
      </c>
      <c r="Y5" s="2" t="s">
        <v>111</v>
      </c>
      <c r="Z5" s="2" t="s">
        <v>111</v>
      </c>
    </row>
    <row r="6" spans="2:30" s="2" customFormat="1" ht="16.5" x14ac:dyDescent="0.3">
      <c r="B6" s="2" t="s">
        <v>5</v>
      </c>
      <c r="C6" s="2" t="s">
        <v>112</v>
      </c>
      <c r="D6" s="2" t="s">
        <v>112</v>
      </c>
      <c r="E6" s="2" t="s">
        <v>112</v>
      </c>
      <c r="F6" s="2" t="s">
        <v>112</v>
      </c>
      <c r="G6" s="2" t="s">
        <v>112</v>
      </c>
      <c r="H6" s="2" t="s">
        <v>112</v>
      </c>
      <c r="I6" s="2" t="s">
        <v>113</v>
      </c>
      <c r="J6" s="2" t="s">
        <v>113</v>
      </c>
      <c r="K6" s="2" t="s">
        <v>113</v>
      </c>
      <c r="L6" s="2" t="s">
        <v>113</v>
      </c>
      <c r="M6" s="2" t="s">
        <v>113</v>
      </c>
      <c r="N6" s="2" t="s">
        <v>113</v>
      </c>
      <c r="O6" s="2" t="s">
        <v>112</v>
      </c>
      <c r="P6" s="2" t="s">
        <v>112</v>
      </c>
      <c r="Q6" s="2" t="s">
        <v>112</v>
      </c>
      <c r="R6" s="2" t="s">
        <v>112</v>
      </c>
      <c r="U6" s="2" t="s">
        <v>112</v>
      </c>
      <c r="V6" s="2" t="s">
        <v>112</v>
      </c>
      <c r="W6" s="2" t="s">
        <v>112</v>
      </c>
      <c r="X6" s="2" t="s">
        <v>112</v>
      </c>
      <c r="AB6" s="78" t="s">
        <v>114</v>
      </c>
      <c r="AC6" s="78" t="s">
        <v>115</v>
      </c>
      <c r="AD6" s="78" t="s">
        <v>116</v>
      </c>
    </row>
    <row r="7" spans="2:30" x14ac:dyDescent="0.2">
      <c r="C7" s="1" t="s">
        <v>117</v>
      </c>
      <c r="D7" s="1" t="s">
        <v>117</v>
      </c>
      <c r="E7" s="1" t="s">
        <v>117</v>
      </c>
      <c r="F7" s="1" t="s">
        <v>117</v>
      </c>
      <c r="I7" s="1" t="s">
        <v>118</v>
      </c>
      <c r="J7" s="1" t="s">
        <v>118</v>
      </c>
      <c r="K7" s="1" t="s">
        <v>118</v>
      </c>
      <c r="L7" s="1" t="s">
        <v>118</v>
      </c>
      <c r="M7" s="1" t="s">
        <v>118</v>
      </c>
      <c r="N7" s="1" t="s">
        <v>118</v>
      </c>
      <c r="O7" s="1" t="s">
        <v>117</v>
      </c>
      <c r="P7" s="1" t="s">
        <v>117</v>
      </c>
      <c r="Q7" s="1" t="s">
        <v>117</v>
      </c>
      <c r="R7" s="1" t="s">
        <v>117</v>
      </c>
      <c r="U7" s="1" t="s">
        <v>117</v>
      </c>
      <c r="V7" s="1" t="s">
        <v>117</v>
      </c>
      <c r="W7" s="1" t="s">
        <v>117</v>
      </c>
      <c r="X7" s="1" t="s">
        <v>117</v>
      </c>
    </row>
    <row r="8" spans="2:30" x14ac:dyDescent="0.2">
      <c r="B8" s="1" t="str">
        <f>'Calculate-MWs'!E9</f>
        <v>C7</v>
      </c>
      <c r="C8" s="14">
        <f>I8/SUM(I$8:I$31)*100</f>
        <v>16.790788251242301</v>
      </c>
      <c r="D8" s="14">
        <f>J8/SUM(J$8:J$31)*100</f>
        <v>16.726336093443564</v>
      </c>
      <c r="E8" s="14">
        <f>K8/SUM(K$8:K$31)*100</f>
        <v>16.232722495020592</v>
      </c>
      <c r="F8" s="14">
        <f>L8/SUM(L$8:L$31)*100</f>
        <v>17.011388658531445</v>
      </c>
      <c r="G8" s="14">
        <f t="shared" ref="G8:H8" si="0">M8/SUM(M$8:M$31)*100</f>
        <v>16.690327049916093</v>
      </c>
      <c r="H8" s="14">
        <f t="shared" si="0"/>
        <v>16.690327049916093</v>
      </c>
      <c r="I8" s="1">
        <f>'Calculate-MWs'!$C18/'Calculate-MWs'!G9</f>
        <v>9.4059339957570876E-2</v>
      </c>
      <c r="J8" s="1">
        <f>'Calculate-MWs'!$C18/'Calculate-MWs'!Q9</f>
        <v>9.5000214992977464E-2</v>
      </c>
      <c r="K8" s="1">
        <f>'Calculate-MWs'!$C18/'Calculate-MWs'!R9</f>
        <v>9.5486602911885848E-2</v>
      </c>
      <c r="L8" s="1">
        <f>'Calculate-MWs'!$C18/'Calculate-MWs'!AH9</f>
        <v>0.1000669921090085</v>
      </c>
      <c r="M8" s="1">
        <f>'Calculate-MWs'!$C18/'Calculate-MWs'!AK9</f>
        <v>9.817839441127113E-2</v>
      </c>
      <c r="N8" s="1">
        <f>'Calculate-MWs'!$C18/'Calculate-MWs'!AN9</f>
        <v>9.817839441127113E-2</v>
      </c>
      <c r="O8" s="65">
        <f t="shared" ref="O8:T8" si="1">$C8-C8</f>
        <v>0</v>
      </c>
      <c r="P8" s="65">
        <f t="shared" si="1"/>
        <v>6.445215779873692E-2</v>
      </c>
      <c r="Q8" s="65">
        <f t="shared" si="1"/>
        <v>0.5580657562217084</v>
      </c>
      <c r="R8" s="65">
        <f t="shared" si="1"/>
        <v>-0.22060040728914387</v>
      </c>
      <c r="S8" s="65">
        <f t="shared" si="1"/>
        <v>0.10046120132620828</v>
      </c>
      <c r="T8" s="65">
        <f t="shared" si="1"/>
        <v>0.10046120132620828</v>
      </c>
      <c r="U8" s="65">
        <f>ABS(O8)</f>
        <v>0</v>
      </c>
      <c r="V8" s="65">
        <f t="shared" ref="V8:V31" si="2">ABS(P8)</f>
        <v>6.445215779873692E-2</v>
      </c>
      <c r="W8" s="65">
        <f t="shared" ref="W8:X31" si="3">ABS(Q8)</f>
        <v>0.5580657562217084</v>
      </c>
      <c r="X8" s="65">
        <f t="shared" si="3"/>
        <v>0.22060040728914387</v>
      </c>
      <c r="Y8" s="65">
        <f t="shared" ref="Y8:Y31" si="4">ABS(S8)</f>
        <v>0.10046120132620828</v>
      </c>
      <c r="Z8" s="65">
        <f t="shared" ref="Z8:Z31" si="5">ABS(T8)</f>
        <v>0.10046120132620828</v>
      </c>
      <c r="AB8" s="1">
        <v>0.5</v>
      </c>
      <c r="AC8" s="1">
        <v>-0.5</v>
      </c>
      <c r="AD8" s="1">
        <v>0</v>
      </c>
    </row>
    <row r="9" spans="2:30" x14ac:dyDescent="0.2">
      <c r="B9" s="1" t="str">
        <f>'Calculate-MWs'!E10</f>
        <v>C8</v>
      </c>
      <c r="C9" s="14">
        <f t="shared" ref="C9:C31" si="6">I9/SUM(I$8:I$31)*100</f>
        <v>19.742320870373646</v>
      </c>
      <c r="D9" s="14">
        <f t="shared" ref="D9:D31" si="7">J9/SUM(J$8:J$31)*100</f>
        <v>19.722866019204943</v>
      </c>
      <c r="E9" s="14">
        <f t="shared" ref="E9:E31" si="8">K9/SUM(K$8:K$31)*100</f>
        <v>19.203648384654485</v>
      </c>
      <c r="F9" s="14">
        <f t="shared" ref="F9:F31" si="9">L9/SUM(L$8:L$31)*100</f>
        <v>19.846047198951354</v>
      </c>
      <c r="G9" s="14">
        <f t="shared" ref="G9:G31" si="10">M9/SUM(M$8:M$31)*100</f>
        <v>20.071409266134658</v>
      </c>
      <c r="H9" s="14">
        <f t="shared" ref="H9:H31" si="11">N9/SUM(N$8:N$31)*100</f>
        <v>20.071409266134658</v>
      </c>
      <c r="I9" s="1">
        <f>'Calculate-MWs'!$C19/'Calculate-MWs'!G10</f>
        <v>0.11059335884129984</v>
      </c>
      <c r="J9" s="1">
        <f>'Calculate-MWs'!$C19/'Calculate-MWs'!Q10</f>
        <v>0.11201954221382697</v>
      </c>
      <c r="K9" s="1">
        <f>'Calculate-MWs'!$C19/'Calculate-MWs'!R10</f>
        <v>0.11296263755679109</v>
      </c>
      <c r="L9" s="1">
        <f>'Calculate-MWs'!$C19/'Calculate-MWs'!AH10</f>
        <v>0.11674145411147854</v>
      </c>
      <c r="M9" s="1">
        <f>'Calculate-MWs'!$C19/'Calculate-MWs'!AK10</f>
        <v>0.11806711333020387</v>
      </c>
      <c r="N9" s="1">
        <f>'Calculate-MWs'!$C19/'Calculate-MWs'!AN10</f>
        <v>0.11806711333020387</v>
      </c>
      <c r="O9" s="65">
        <f t="shared" ref="O9:O31" si="12">$C9-C9</f>
        <v>0</v>
      </c>
      <c r="P9" s="65">
        <f t="shared" ref="P9:P31" si="13">$C9-D9</f>
        <v>1.9454851168703158E-2</v>
      </c>
      <c r="Q9" s="65">
        <f t="shared" ref="Q9:Q31" si="14">$C9-E9</f>
        <v>0.53867248571916093</v>
      </c>
      <c r="R9" s="65">
        <f t="shared" ref="R9:R31" si="15">$C9-F9</f>
        <v>-0.10372632857770725</v>
      </c>
      <c r="S9" s="65">
        <f t="shared" ref="S9:S31" si="16">$C9-G9</f>
        <v>-0.32908839576101201</v>
      </c>
      <c r="T9" s="65">
        <f t="shared" ref="T9:T31" si="17">$C9-H9</f>
        <v>-0.32908839576101201</v>
      </c>
      <c r="U9" s="65">
        <f t="shared" ref="U9:U31" si="18">ABS(O9)</f>
        <v>0</v>
      </c>
      <c r="V9" s="65">
        <f t="shared" si="2"/>
        <v>1.9454851168703158E-2</v>
      </c>
      <c r="W9" s="65">
        <f t="shared" si="3"/>
        <v>0.53867248571916093</v>
      </c>
      <c r="X9" s="65">
        <f t="shared" si="3"/>
        <v>0.10372632857770725</v>
      </c>
      <c r="Y9" s="65">
        <f t="shared" si="4"/>
        <v>0.32908839576101201</v>
      </c>
      <c r="Z9" s="65">
        <f t="shared" si="5"/>
        <v>0.32908839576101201</v>
      </c>
      <c r="AB9" s="1">
        <v>0.5</v>
      </c>
      <c r="AC9" s="1">
        <v>-0.5</v>
      </c>
      <c r="AD9" s="1">
        <v>0</v>
      </c>
    </row>
    <row r="10" spans="2:30" x14ac:dyDescent="0.2">
      <c r="B10" s="1" t="str">
        <f>'Calculate-MWs'!E11</f>
        <v>C9</v>
      </c>
      <c r="C10" s="14">
        <f t="shared" si="6"/>
        <v>12.727048048903807</v>
      </c>
      <c r="D10" s="14">
        <f t="shared" si="7"/>
        <v>12.738338795757015</v>
      </c>
      <c r="E10" s="14">
        <f t="shared" si="8"/>
        <v>12.497670777501185</v>
      </c>
      <c r="F10" s="14">
        <f t="shared" si="9"/>
        <v>12.716601758020389</v>
      </c>
      <c r="G10" s="14">
        <f t="shared" si="10"/>
        <v>12.847122436163533</v>
      </c>
      <c r="H10" s="14">
        <f t="shared" si="11"/>
        <v>12.847122436163533</v>
      </c>
      <c r="I10" s="1">
        <f>'Calculate-MWs'!$C20/'Calculate-MWs'!G11</f>
        <v>7.1294910112371448E-2</v>
      </c>
      <c r="J10" s="1">
        <f>'Calculate-MWs'!$C20/'Calculate-MWs'!Q11</f>
        <v>7.2349671648930816E-2</v>
      </c>
      <c r="K10" s="1">
        <f>'Calculate-MWs'!$C20/'Calculate-MWs'!R11</f>
        <v>7.3515710455889324E-2</v>
      </c>
      <c r="L10" s="1">
        <f>'Calculate-MWs'!$C20/'Calculate-MWs'!AH11</f>
        <v>7.4803539753061102E-2</v>
      </c>
      <c r="M10" s="1">
        <f>'Calculate-MWs'!$C20/'Calculate-MWs'!AK11</f>
        <v>7.5571308448020777E-2</v>
      </c>
      <c r="N10" s="1">
        <f>'Calculate-MWs'!$C20/'Calculate-MWs'!AN11</f>
        <v>7.5571308448020777E-2</v>
      </c>
      <c r="O10" s="65">
        <f t="shared" si="12"/>
        <v>0</v>
      </c>
      <c r="P10" s="65">
        <f t="shared" si="13"/>
        <v>-1.1290746853207523E-2</v>
      </c>
      <c r="Q10" s="65">
        <f t="shared" si="14"/>
        <v>0.22937727140262254</v>
      </c>
      <c r="R10" s="65">
        <f t="shared" si="15"/>
        <v>1.0446290883418641E-2</v>
      </c>
      <c r="S10" s="65">
        <f t="shared" si="16"/>
        <v>-0.12007438725972541</v>
      </c>
      <c r="T10" s="65">
        <f t="shared" si="17"/>
        <v>-0.12007438725972541</v>
      </c>
      <c r="U10" s="65">
        <f t="shared" si="18"/>
        <v>0</v>
      </c>
      <c r="V10" s="65">
        <f t="shared" si="2"/>
        <v>1.1290746853207523E-2</v>
      </c>
      <c r="W10" s="65">
        <f t="shared" si="3"/>
        <v>0.22937727140262254</v>
      </c>
      <c r="X10" s="65">
        <f t="shared" si="3"/>
        <v>1.0446290883418641E-2</v>
      </c>
      <c r="Y10" s="65">
        <f t="shared" si="4"/>
        <v>0.12007438725972541</v>
      </c>
      <c r="Z10" s="65">
        <f t="shared" si="5"/>
        <v>0.12007438725972541</v>
      </c>
      <c r="AB10" s="1">
        <v>0.5</v>
      </c>
      <c r="AC10" s="1">
        <v>-0.5</v>
      </c>
      <c r="AD10" s="1">
        <v>0</v>
      </c>
    </row>
    <row r="11" spans="2:30" x14ac:dyDescent="0.2">
      <c r="B11" s="1" t="str">
        <f>'Calculate-MWs'!E12</f>
        <v>C10</v>
      </c>
      <c r="C11" s="14">
        <f t="shared" si="6"/>
        <v>9.5627605918053611</v>
      </c>
      <c r="D11" s="14">
        <f t="shared" si="7"/>
        <v>9.5824851966756004</v>
      </c>
      <c r="E11" s="14">
        <f t="shared" si="8"/>
        <v>9.4819173884049341</v>
      </c>
      <c r="F11" s="14">
        <f t="shared" si="9"/>
        <v>9.5087790615919996</v>
      </c>
      <c r="G11" s="14">
        <f t="shared" si="10"/>
        <v>9.6697754640915523</v>
      </c>
      <c r="H11" s="14">
        <f t="shared" si="11"/>
        <v>9.6697754640915523</v>
      </c>
      <c r="I11" s="1">
        <f>'Calculate-MWs'!$C21/'Calculate-MWs'!G12</f>
        <v>5.3569072278124477E-2</v>
      </c>
      <c r="J11" s="1">
        <f>'Calculate-MWs'!$C21/'Calculate-MWs'!Q12</f>
        <v>5.4425437152852786E-2</v>
      </c>
      <c r="K11" s="1">
        <f>'Calculate-MWs'!$C21/'Calculate-MWs'!R12</f>
        <v>5.5775984637676086E-2</v>
      </c>
      <c r="L11" s="1">
        <f>'Calculate-MWs'!$C21/'Calculate-MWs'!AH12</f>
        <v>5.5933994479952946E-2</v>
      </c>
      <c r="M11" s="1">
        <f>'Calculate-MWs'!$C21/'Calculate-MWs'!AK12</f>
        <v>5.688103214171502E-2</v>
      </c>
      <c r="N11" s="1">
        <f>'Calculate-MWs'!$C21/'Calculate-MWs'!AN12</f>
        <v>5.688103214171502E-2</v>
      </c>
      <c r="O11" s="65">
        <f t="shared" si="12"/>
        <v>0</v>
      </c>
      <c r="P11" s="65">
        <f t="shared" si="13"/>
        <v>-1.9724604870239304E-2</v>
      </c>
      <c r="Q11" s="65">
        <f t="shared" si="14"/>
        <v>8.0843203400426944E-2</v>
      </c>
      <c r="R11" s="65">
        <f t="shared" si="15"/>
        <v>5.3981530213361495E-2</v>
      </c>
      <c r="S11" s="65">
        <f t="shared" si="16"/>
        <v>-0.10701487228619122</v>
      </c>
      <c r="T11" s="65">
        <f t="shared" si="17"/>
        <v>-0.10701487228619122</v>
      </c>
      <c r="U11" s="65">
        <f t="shared" si="18"/>
        <v>0</v>
      </c>
      <c r="V11" s="65">
        <f t="shared" si="2"/>
        <v>1.9724604870239304E-2</v>
      </c>
      <c r="W11" s="65">
        <f t="shared" si="3"/>
        <v>8.0843203400426944E-2</v>
      </c>
      <c r="X11" s="65">
        <f t="shared" si="3"/>
        <v>5.3981530213361495E-2</v>
      </c>
      <c r="Y11" s="65">
        <f t="shared" si="4"/>
        <v>0.10701487228619122</v>
      </c>
      <c r="Z11" s="65">
        <f t="shared" si="5"/>
        <v>0.10701487228619122</v>
      </c>
      <c r="AB11" s="1">
        <v>0.5</v>
      </c>
      <c r="AC11" s="1">
        <v>-0.5</v>
      </c>
      <c r="AD11" s="1">
        <v>0</v>
      </c>
    </row>
    <row r="12" spans="2:30" x14ac:dyDescent="0.2">
      <c r="B12" s="1" t="str">
        <f>'Calculate-MWs'!E13</f>
        <v>C11</v>
      </c>
      <c r="C12" s="14">
        <f t="shared" si="6"/>
        <v>6.6855838952237452</v>
      </c>
      <c r="D12" s="14">
        <f t="shared" si="7"/>
        <v>6.7039916234865133</v>
      </c>
      <c r="E12" s="14">
        <f t="shared" si="8"/>
        <v>6.6933625495985734</v>
      </c>
      <c r="F12" s="14">
        <f t="shared" si="9"/>
        <v>6.6216116480301501</v>
      </c>
      <c r="G12" s="14">
        <f t="shared" si="10"/>
        <v>6.7700654784803511</v>
      </c>
      <c r="H12" s="14">
        <f t="shared" si="11"/>
        <v>6.7700654784803511</v>
      </c>
      <c r="I12" s="1">
        <f>'Calculate-MWs'!$C22/'Calculate-MWs'!G13</f>
        <v>3.7451583511523653E-2</v>
      </c>
      <c r="J12" s="1">
        <f>'Calculate-MWs'!$C22/'Calculate-MWs'!Q13</f>
        <v>3.807651849062061E-2</v>
      </c>
      <c r="K12" s="1">
        <f>'Calculate-MWs'!$C22/'Calculate-MWs'!R13</f>
        <v>3.9372720879991607E-2</v>
      </c>
      <c r="L12" s="1">
        <f>'Calculate-MWs'!$C22/'Calculate-MWs'!AH13</f>
        <v>3.8950656753118526E-2</v>
      </c>
      <c r="M12" s="1">
        <f>'Calculate-MWs'!$C22/'Calculate-MWs'!AK13</f>
        <v>3.9823914579296189E-2</v>
      </c>
      <c r="N12" s="1">
        <f>'Calculate-MWs'!$C22/'Calculate-MWs'!AN13</f>
        <v>3.9823914579296189E-2</v>
      </c>
      <c r="O12" s="65">
        <f t="shared" si="12"/>
        <v>0</v>
      </c>
      <c r="P12" s="65">
        <f t="shared" si="13"/>
        <v>-1.8407728262768153E-2</v>
      </c>
      <c r="Q12" s="65">
        <f t="shared" si="14"/>
        <v>-7.7786543748281645E-3</v>
      </c>
      <c r="R12" s="65">
        <f t="shared" si="15"/>
        <v>6.3972247193595067E-2</v>
      </c>
      <c r="S12" s="65">
        <f t="shared" si="16"/>
        <v>-8.448158325660593E-2</v>
      </c>
      <c r="T12" s="65">
        <f t="shared" si="17"/>
        <v>-8.448158325660593E-2</v>
      </c>
      <c r="U12" s="65">
        <f t="shared" si="18"/>
        <v>0</v>
      </c>
      <c r="V12" s="65">
        <f t="shared" si="2"/>
        <v>1.8407728262768153E-2</v>
      </c>
      <c r="W12" s="65">
        <f t="shared" si="3"/>
        <v>7.7786543748281645E-3</v>
      </c>
      <c r="X12" s="65">
        <f t="shared" si="3"/>
        <v>6.3972247193595067E-2</v>
      </c>
      <c r="Y12" s="65">
        <f t="shared" si="4"/>
        <v>8.448158325660593E-2</v>
      </c>
      <c r="Z12" s="65">
        <f t="shared" si="5"/>
        <v>8.448158325660593E-2</v>
      </c>
      <c r="AB12" s="1">
        <v>0.5</v>
      </c>
      <c r="AC12" s="1">
        <v>-0.5</v>
      </c>
      <c r="AD12" s="1">
        <v>0</v>
      </c>
    </row>
    <row r="13" spans="2:30" x14ac:dyDescent="0.2">
      <c r="B13" s="1" t="str">
        <f>'Calculate-MWs'!E14</f>
        <v>C12</v>
      </c>
      <c r="C13" s="14">
        <f t="shared" si="6"/>
        <v>5.2147885171855819</v>
      </c>
      <c r="D13" s="14">
        <f t="shared" si="7"/>
        <v>5.2310071097180053</v>
      </c>
      <c r="E13" s="14">
        <f t="shared" si="8"/>
        <v>5.2704670386977046</v>
      </c>
      <c r="F13" s="14">
        <f t="shared" si="9"/>
        <v>5.1479217554553678</v>
      </c>
      <c r="G13" s="14">
        <f t="shared" si="10"/>
        <v>5.2541595126467069</v>
      </c>
      <c r="H13" s="14">
        <f t="shared" si="11"/>
        <v>5.2541595126467069</v>
      </c>
      <c r="I13" s="1">
        <f>'Calculate-MWs'!$C23/'Calculate-MWs'!G14</f>
        <v>2.9212420441816062E-2</v>
      </c>
      <c r="J13" s="1">
        <f>'Calculate-MWs'!$C23/'Calculate-MWs'!Q14</f>
        <v>2.9710439708777511E-2</v>
      </c>
      <c r="K13" s="1">
        <f>'Calculate-MWs'!$C23/'Calculate-MWs'!R14</f>
        <v>3.1002747286457088E-2</v>
      </c>
      <c r="L13" s="1">
        <f>'Calculate-MWs'!$C23/'Calculate-MWs'!AH14</f>
        <v>3.0281892679149224E-2</v>
      </c>
      <c r="M13" s="1">
        <f>'Calculate-MWs'!$C23/'Calculate-MWs'!AK14</f>
        <v>3.090682066262769E-2</v>
      </c>
      <c r="N13" s="1">
        <f>'Calculate-MWs'!$C23/'Calculate-MWs'!AN14</f>
        <v>3.090682066262769E-2</v>
      </c>
      <c r="O13" s="65">
        <f t="shared" si="12"/>
        <v>0</v>
      </c>
      <c r="P13" s="65">
        <f t="shared" si="13"/>
        <v>-1.6218592532423415E-2</v>
      </c>
      <c r="Q13" s="65">
        <f t="shared" si="14"/>
        <v>-5.5678521512122714E-2</v>
      </c>
      <c r="R13" s="65">
        <f t="shared" si="15"/>
        <v>6.6866761730214108E-2</v>
      </c>
      <c r="S13" s="65">
        <f t="shared" si="16"/>
        <v>-3.9370995461124991E-2</v>
      </c>
      <c r="T13" s="65">
        <f t="shared" si="17"/>
        <v>-3.9370995461124991E-2</v>
      </c>
      <c r="U13" s="65">
        <f t="shared" si="18"/>
        <v>0</v>
      </c>
      <c r="V13" s="65">
        <f t="shared" si="2"/>
        <v>1.6218592532423415E-2</v>
      </c>
      <c r="W13" s="65">
        <f t="shared" si="3"/>
        <v>5.5678521512122714E-2</v>
      </c>
      <c r="X13" s="65">
        <f t="shared" si="3"/>
        <v>6.6866761730214108E-2</v>
      </c>
      <c r="Y13" s="65">
        <f t="shared" si="4"/>
        <v>3.9370995461124991E-2</v>
      </c>
      <c r="Z13" s="65">
        <f t="shared" si="5"/>
        <v>3.9370995461124991E-2</v>
      </c>
      <c r="AB13" s="1">
        <v>0.5</v>
      </c>
      <c r="AC13" s="1">
        <v>-0.5</v>
      </c>
      <c r="AD13" s="1">
        <v>0</v>
      </c>
    </row>
    <row r="14" spans="2:30" x14ac:dyDescent="0.2">
      <c r="B14" s="1" t="str">
        <f>'Calculate-MWs'!E15</f>
        <v>C13</v>
      </c>
      <c r="C14" s="14">
        <f t="shared" si="6"/>
        <v>4.9314026190542286</v>
      </c>
      <c r="D14" s="14">
        <f t="shared" si="7"/>
        <v>4.9473709920916331</v>
      </c>
      <c r="E14" s="14">
        <f t="shared" si="8"/>
        <v>5.0300548749728762</v>
      </c>
      <c r="F14" s="14">
        <f t="shared" si="9"/>
        <v>4.8546475617913467</v>
      </c>
      <c r="G14" s="14">
        <f t="shared" si="10"/>
        <v>4.9475638516734408</v>
      </c>
      <c r="H14" s="14">
        <f t="shared" si="11"/>
        <v>4.9475638516734408</v>
      </c>
      <c r="I14" s="1">
        <f>'Calculate-MWs'!$C24/'Calculate-MWs'!G15</f>
        <v>2.7624937464085918E-2</v>
      </c>
      <c r="J14" s="1">
        <f>'Calculate-MWs'!$C24/'Calculate-MWs'!Q15</f>
        <v>2.8099477690332775E-2</v>
      </c>
      <c r="K14" s="1">
        <f>'Calculate-MWs'!$C24/'Calculate-MWs'!R15</f>
        <v>2.9588558088075742E-2</v>
      </c>
      <c r="L14" s="1">
        <f>'Calculate-MWs'!$C24/'Calculate-MWs'!AH15</f>
        <v>2.8556750363478513E-2</v>
      </c>
      <c r="M14" s="1">
        <f>'Calculate-MWs'!$C24/'Calculate-MWs'!AK15</f>
        <v>2.9103316774549651E-2</v>
      </c>
      <c r="N14" s="1">
        <f>'Calculate-MWs'!$C24/'Calculate-MWs'!AN15</f>
        <v>2.9103316774549651E-2</v>
      </c>
      <c r="O14" s="65">
        <f t="shared" si="12"/>
        <v>0</v>
      </c>
      <c r="P14" s="65">
        <f t="shared" si="13"/>
        <v>-1.5968373037404504E-2</v>
      </c>
      <c r="Q14" s="65">
        <f t="shared" si="14"/>
        <v>-9.8652255918647569E-2</v>
      </c>
      <c r="R14" s="65">
        <f t="shared" si="15"/>
        <v>7.6755057262881898E-2</v>
      </c>
      <c r="S14" s="65">
        <f t="shared" si="16"/>
        <v>-1.6161232619212207E-2</v>
      </c>
      <c r="T14" s="65">
        <f t="shared" si="17"/>
        <v>-1.6161232619212207E-2</v>
      </c>
      <c r="U14" s="65">
        <f t="shared" si="18"/>
        <v>0</v>
      </c>
      <c r="V14" s="65">
        <f t="shared" si="2"/>
        <v>1.5968373037404504E-2</v>
      </c>
      <c r="W14" s="65">
        <f t="shared" si="3"/>
        <v>9.8652255918647569E-2</v>
      </c>
      <c r="X14" s="65">
        <f t="shared" si="3"/>
        <v>7.6755057262881898E-2</v>
      </c>
      <c r="Y14" s="65">
        <f t="shared" si="4"/>
        <v>1.6161232619212207E-2</v>
      </c>
      <c r="Z14" s="65">
        <f t="shared" si="5"/>
        <v>1.6161232619212207E-2</v>
      </c>
      <c r="AB14" s="1">
        <v>0.5</v>
      </c>
      <c r="AC14" s="1">
        <v>-0.5</v>
      </c>
      <c r="AD14" s="1">
        <v>0</v>
      </c>
    </row>
    <row r="15" spans="2:30" x14ac:dyDescent="0.2">
      <c r="B15" s="1" t="str">
        <f>'Calculate-MWs'!E16</f>
        <v>C14</v>
      </c>
      <c r="C15" s="14">
        <f t="shared" si="6"/>
        <v>3.80314640787855</v>
      </c>
      <c r="D15" s="14">
        <f t="shared" si="7"/>
        <v>3.8153549018753798</v>
      </c>
      <c r="E15" s="14">
        <f t="shared" si="8"/>
        <v>3.9138530864098899</v>
      </c>
      <c r="F15" s="14">
        <f t="shared" si="9"/>
        <v>3.7350445704181978</v>
      </c>
      <c r="G15" s="14">
        <f t="shared" si="10"/>
        <v>3.7817585762791239</v>
      </c>
      <c r="H15" s="14">
        <f t="shared" si="11"/>
        <v>3.7817585762791239</v>
      </c>
      <c r="I15" s="1">
        <f>'Calculate-MWs'!$C25/'Calculate-MWs'!G16</f>
        <v>2.1304624627172954E-2</v>
      </c>
      <c r="J15" s="1">
        <f>'Calculate-MWs'!$C25/'Calculate-MWs'!Q16</f>
        <v>2.1669990004251401E-2</v>
      </c>
      <c r="K15" s="1">
        <f>'Calculate-MWs'!$C25/'Calculate-MWs'!R16</f>
        <v>2.3022665214175824E-2</v>
      </c>
      <c r="L15" s="1">
        <f>'Calculate-MWs'!$C25/'Calculate-MWs'!AH16</f>
        <v>2.1970850414224693E-2</v>
      </c>
      <c r="M15" s="1">
        <f>'Calculate-MWs'!$C25/'Calculate-MWs'!AK16</f>
        <v>2.2245638683994848E-2</v>
      </c>
      <c r="N15" s="1">
        <f>'Calculate-MWs'!$C25/'Calculate-MWs'!AN16</f>
        <v>2.2245638683994848E-2</v>
      </c>
      <c r="O15" s="65">
        <f t="shared" si="12"/>
        <v>0</v>
      </c>
      <c r="P15" s="65">
        <f t="shared" si="13"/>
        <v>-1.2208493996829883E-2</v>
      </c>
      <c r="Q15" s="65">
        <f t="shared" si="14"/>
        <v>-0.11070667853133997</v>
      </c>
      <c r="R15" s="65">
        <f t="shared" si="15"/>
        <v>6.8101837460352144E-2</v>
      </c>
      <c r="S15" s="65">
        <f t="shared" si="16"/>
        <v>2.1387831599426033E-2</v>
      </c>
      <c r="T15" s="65">
        <f t="shared" si="17"/>
        <v>2.1387831599426033E-2</v>
      </c>
      <c r="U15" s="65">
        <f t="shared" si="18"/>
        <v>0</v>
      </c>
      <c r="V15" s="65">
        <f t="shared" si="2"/>
        <v>1.2208493996829883E-2</v>
      </c>
      <c r="W15" s="65">
        <f t="shared" si="3"/>
        <v>0.11070667853133997</v>
      </c>
      <c r="X15" s="65">
        <f t="shared" si="3"/>
        <v>6.8101837460352144E-2</v>
      </c>
      <c r="Y15" s="65">
        <f t="shared" si="4"/>
        <v>2.1387831599426033E-2</v>
      </c>
      <c r="Z15" s="65">
        <f t="shared" si="5"/>
        <v>2.1387831599426033E-2</v>
      </c>
      <c r="AB15" s="1">
        <v>0.5</v>
      </c>
      <c r="AC15" s="1">
        <v>-0.5</v>
      </c>
      <c r="AD15" s="1">
        <v>0</v>
      </c>
    </row>
    <row r="16" spans="2:30" x14ac:dyDescent="0.2">
      <c r="B16" s="1" t="str">
        <f>'Calculate-MWs'!E17</f>
        <v>C15</v>
      </c>
      <c r="C16" s="14">
        <f t="shared" si="6"/>
        <v>2.882932890160121</v>
      </c>
      <c r="D16" s="14">
        <f t="shared" si="7"/>
        <v>2.8918022528302325</v>
      </c>
      <c r="E16" s="14">
        <f t="shared" si="8"/>
        <v>2.9924102472253455</v>
      </c>
      <c r="F16" s="14">
        <f t="shared" si="9"/>
        <v>2.8254745103140575</v>
      </c>
      <c r="G16" s="14">
        <f t="shared" si="10"/>
        <v>2.831004759452691</v>
      </c>
      <c r="H16" s="14">
        <f t="shared" si="11"/>
        <v>2.831004759452691</v>
      </c>
      <c r="I16" s="1">
        <f>'Calculate-MWs'!$C26/'Calculate-MWs'!G17</f>
        <v>1.6149734052561249E-2</v>
      </c>
      <c r="J16" s="1">
        <f>'Calculate-MWs'!$C26/'Calculate-MWs'!Q17</f>
        <v>1.6424507686637654E-2</v>
      </c>
      <c r="K16" s="1">
        <f>'Calculate-MWs'!$C26/'Calculate-MWs'!R17</f>
        <v>1.7602413218972622E-2</v>
      </c>
      <c r="L16" s="1">
        <f>'Calculate-MWs'!$C26/'Calculate-MWs'!AH17</f>
        <v>1.6620438295965045E-2</v>
      </c>
      <c r="M16" s="1">
        <f>'Calculate-MWs'!$C26/'Calculate-MWs'!AK17</f>
        <v>1.6652969173251125E-2</v>
      </c>
      <c r="N16" s="1">
        <f>'Calculate-MWs'!$C26/'Calculate-MWs'!AN17</f>
        <v>1.6652969173251125E-2</v>
      </c>
      <c r="O16" s="65">
        <f t="shared" si="12"/>
        <v>0</v>
      </c>
      <c r="P16" s="65">
        <f t="shared" si="13"/>
        <v>-8.8693626701115136E-3</v>
      </c>
      <c r="Q16" s="65">
        <f t="shared" si="14"/>
        <v>-0.10947735706522455</v>
      </c>
      <c r="R16" s="65">
        <f t="shared" si="15"/>
        <v>5.7458379846063501E-2</v>
      </c>
      <c r="S16" s="65">
        <f t="shared" si="16"/>
        <v>5.1928130707429965E-2</v>
      </c>
      <c r="T16" s="65">
        <f t="shared" si="17"/>
        <v>5.1928130707429965E-2</v>
      </c>
      <c r="U16" s="65">
        <f t="shared" si="18"/>
        <v>0</v>
      </c>
      <c r="V16" s="65">
        <f t="shared" si="2"/>
        <v>8.8693626701115136E-3</v>
      </c>
      <c r="W16" s="65">
        <f t="shared" si="3"/>
        <v>0.10947735706522455</v>
      </c>
      <c r="X16" s="65">
        <f t="shared" si="3"/>
        <v>5.7458379846063501E-2</v>
      </c>
      <c r="Y16" s="65">
        <f t="shared" si="4"/>
        <v>5.1928130707429965E-2</v>
      </c>
      <c r="Z16" s="65">
        <f t="shared" si="5"/>
        <v>5.1928130707429965E-2</v>
      </c>
      <c r="AB16" s="1">
        <v>0.5</v>
      </c>
      <c r="AC16" s="1">
        <v>-0.5</v>
      </c>
      <c r="AD16" s="1">
        <v>0</v>
      </c>
    </row>
    <row r="17" spans="2:30" x14ac:dyDescent="0.2">
      <c r="B17" s="1" t="str">
        <f>'Calculate-MWs'!E18</f>
        <v>C16</v>
      </c>
      <c r="C17" s="14">
        <f t="shared" si="6"/>
        <v>2.1874805752071902</v>
      </c>
      <c r="D17" s="14">
        <f t="shared" si="7"/>
        <v>2.1937635552186792</v>
      </c>
      <c r="E17" s="14">
        <f t="shared" si="8"/>
        <v>2.289407280542326</v>
      </c>
      <c r="F17" s="14">
        <f t="shared" si="9"/>
        <v>2.1400192859774583</v>
      </c>
      <c r="G17" s="14">
        <f t="shared" si="10"/>
        <v>2.1248856865295225</v>
      </c>
      <c r="H17" s="14">
        <f t="shared" si="11"/>
        <v>2.1248856865295225</v>
      </c>
      <c r="I17" s="1">
        <f>'Calculate-MWs'!$C27/'Calculate-MWs'!G18</f>
        <v>1.2253920185002197E-2</v>
      </c>
      <c r="J17" s="1">
        <f>'Calculate-MWs'!$C27/'Calculate-MWs'!Q18</f>
        <v>1.2459872157610501E-2</v>
      </c>
      <c r="K17" s="1">
        <f>'Calculate-MWs'!$C27/'Calculate-MWs'!R18</f>
        <v>1.3467101650248978E-2</v>
      </c>
      <c r="L17" s="1">
        <f>'Calculate-MWs'!$C27/'Calculate-MWs'!AH18</f>
        <v>1.2588348741043873E-2</v>
      </c>
      <c r="M17" s="1">
        <f>'Calculate-MWs'!$C27/'Calculate-MWs'!AK18</f>
        <v>1.249932756782072E-2</v>
      </c>
      <c r="N17" s="1">
        <f>'Calculate-MWs'!$C27/'Calculate-MWs'!AN18</f>
        <v>1.249932756782072E-2</v>
      </c>
      <c r="O17" s="65">
        <f t="shared" si="12"/>
        <v>0</v>
      </c>
      <c r="P17" s="65">
        <f t="shared" si="13"/>
        <v>-6.28298001148897E-3</v>
      </c>
      <c r="Q17" s="65">
        <f t="shared" si="14"/>
        <v>-0.10192670533513581</v>
      </c>
      <c r="R17" s="65">
        <f t="shared" si="15"/>
        <v>4.7461289229731918E-2</v>
      </c>
      <c r="S17" s="65">
        <f t="shared" si="16"/>
        <v>6.2594888677667715E-2</v>
      </c>
      <c r="T17" s="65">
        <f t="shared" si="17"/>
        <v>6.2594888677667715E-2</v>
      </c>
      <c r="U17" s="65">
        <f t="shared" si="18"/>
        <v>0</v>
      </c>
      <c r="V17" s="65">
        <f t="shared" si="2"/>
        <v>6.28298001148897E-3</v>
      </c>
      <c r="W17" s="65">
        <f t="shared" si="3"/>
        <v>0.10192670533513581</v>
      </c>
      <c r="X17" s="65">
        <f t="shared" si="3"/>
        <v>4.7461289229731918E-2</v>
      </c>
      <c r="Y17" s="65">
        <f t="shared" si="4"/>
        <v>6.2594888677667715E-2</v>
      </c>
      <c r="Z17" s="65">
        <f t="shared" si="5"/>
        <v>6.2594888677667715E-2</v>
      </c>
      <c r="AB17" s="1">
        <v>0.5</v>
      </c>
      <c r="AC17" s="1">
        <v>-0.5</v>
      </c>
      <c r="AD17" s="1">
        <v>0</v>
      </c>
    </row>
    <row r="18" spans="2:30" x14ac:dyDescent="0.2">
      <c r="B18" s="1" t="str">
        <f>'Calculate-MWs'!E19</f>
        <v>C17</v>
      </c>
      <c r="C18" s="14">
        <f t="shared" si="6"/>
        <v>1.9208200364440271</v>
      </c>
      <c r="D18" s="14">
        <f t="shared" si="7"/>
        <v>1.9258556957070909</v>
      </c>
      <c r="E18" s="14">
        <f t="shared" si="8"/>
        <v>2.0264257924459756</v>
      </c>
      <c r="F18" s="14">
        <f t="shared" si="9"/>
        <v>1.8761577152530784</v>
      </c>
      <c r="G18" s="14">
        <f t="shared" si="10"/>
        <v>1.8560263054800945</v>
      </c>
      <c r="H18" s="14">
        <f t="shared" si="11"/>
        <v>1.8560263054800945</v>
      </c>
      <c r="I18" s="1">
        <f>'Calculate-MWs'!$C28/'Calculate-MWs'!G19</f>
        <v>1.0760130024975756E-2</v>
      </c>
      <c r="J18" s="1">
        <f>'Calculate-MWs'!$C28/'Calculate-MWs'!Q19</f>
        <v>1.0938241591913226E-2</v>
      </c>
      <c r="K18" s="1">
        <f>'Calculate-MWs'!$C28/'Calculate-MWs'!R19</f>
        <v>1.1920151720270446E-2</v>
      </c>
      <c r="L18" s="1">
        <f>'Calculate-MWs'!$C28/'Calculate-MWs'!AH19</f>
        <v>1.1036221854429875E-2</v>
      </c>
      <c r="M18" s="1">
        <f>'Calculate-MWs'!$C28/'Calculate-MWs'!AK19</f>
        <v>1.0917801796941733E-2</v>
      </c>
      <c r="N18" s="1">
        <f>'Calculate-MWs'!$C28/'Calculate-MWs'!AN19</f>
        <v>1.0917801796941733E-2</v>
      </c>
      <c r="O18" s="65">
        <f t="shared" si="12"/>
        <v>0</v>
      </c>
      <c r="P18" s="65">
        <f t="shared" si="13"/>
        <v>-5.0356592630638186E-3</v>
      </c>
      <c r="Q18" s="65">
        <f t="shared" si="14"/>
        <v>-0.10560575600194855</v>
      </c>
      <c r="R18" s="65">
        <f t="shared" si="15"/>
        <v>4.4662321190948706E-2</v>
      </c>
      <c r="S18" s="65">
        <f t="shared" si="16"/>
        <v>6.4793730963932594E-2</v>
      </c>
      <c r="T18" s="65">
        <f t="shared" si="17"/>
        <v>6.4793730963932594E-2</v>
      </c>
      <c r="U18" s="65">
        <f t="shared" si="18"/>
        <v>0</v>
      </c>
      <c r="V18" s="65">
        <f t="shared" si="2"/>
        <v>5.0356592630638186E-3</v>
      </c>
      <c r="W18" s="65">
        <f t="shared" si="3"/>
        <v>0.10560575600194855</v>
      </c>
      <c r="X18" s="65">
        <f t="shared" si="3"/>
        <v>4.4662321190948706E-2</v>
      </c>
      <c r="Y18" s="65">
        <f t="shared" si="4"/>
        <v>6.4793730963932594E-2</v>
      </c>
      <c r="Z18" s="65">
        <f t="shared" si="5"/>
        <v>6.4793730963932594E-2</v>
      </c>
      <c r="AB18" s="1">
        <v>0.5</v>
      </c>
      <c r="AC18" s="1">
        <v>-0.5</v>
      </c>
      <c r="AD18" s="1">
        <v>0</v>
      </c>
    </row>
    <row r="19" spans="2:30" x14ac:dyDescent="0.2">
      <c r="B19" s="1" t="str">
        <f>'Calculate-MWs'!E20</f>
        <v>C18</v>
      </c>
      <c r="C19" s="14">
        <f t="shared" si="6"/>
        <v>1.7574658731183375</v>
      </c>
      <c r="D19" s="14">
        <f t="shared" si="7"/>
        <v>1.7615811335709954</v>
      </c>
      <c r="E19" s="14">
        <f t="shared" si="8"/>
        <v>1.8684232202376245</v>
      </c>
      <c r="F19" s="14">
        <f t="shared" si="9"/>
        <v>1.7141776287909498</v>
      </c>
      <c r="G19" s="14">
        <f t="shared" si="10"/>
        <v>1.6969937834425088</v>
      </c>
      <c r="H19" s="14">
        <f t="shared" si="11"/>
        <v>1.6969937834425088</v>
      </c>
      <c r="I19" s="1">
        <f>'Calculate-MWs'!$C29/'Calculate-MWs'!G20</f>
        <v>9.8450458400150646E-3</v>
      </c>
      <c r="J19" s="1">
        <f>'Calculate-MWs'!$C29/'Calculate-MWs'!Q20</f>
        <v>1.000521485888449E-2</v>
      </c>
      <c r="K19" s="1">
        <f>'Calculate-MWs'!$C29/'Calculate-MWs'!R20</f>
        <v>1.0990724824927203E-2</v>
      </c>
      <c r="L19" s="1">
        <f>'Calculate-MWs'!$C29/'Calculate-MWs'!AH20</f>
        <v>1.0083397816417353E-2</v>
      </c>
      <c r="M19" s="1">
        <f>'Calculate-MWs'!$C29/'Calculate-MWs'!AK20</f>
        <v>9.9823163731912294E-3</v>
      </c>
      <c r="N19" s="1">
        <f>'Calculate-MWs'!$C29/'Calculate-MWs'!AN20</f>
        <v>9.9823163731912294E-3</v>
      </c>
      <c r="O19" s="65">
        <f t="shared" si="12"/>
        <v>0</v>
      </c>
      <c r="P19" s="65">
        <f t="shared" si="13"/>
        <v>-4.1152604526579761E-3</v>
      </c>
      <c r="Q19" s="65">
        <f t="shared" si="14"/>
        <v>-0.11095734711928706</v>
      </c>
      <c r="R19" s="65">
        <f t="shared" si="15"/>
        <v>4.3288244327387648E-2</v>
      </c>
      <c r="S19" s="65">
        <f t="shared" si="16"/>
        <v>6.0472089675828622E-2</v>
      </c>
      <c r="T19" s="65">
        <f t="shared" si="17"/>
        <v>6.0472089675828622E-2</v>
      </c>
      <c r="U19" s="65">
        <f t="shared" si="18"/>
        <v>0</v>
      </c>
      <c r="V19" s="65">
        <f t="shared" si="2"/>
        <v>4.1152604526579761E-3</v>
      </c>
      <c r="W19" s="65">
        <f t="shared" si="3"/>
        <v>0.11095734711928706</v>
      </c>
      <c r="X19" s="65">
        <f t="shared" si="3"/>
        <v>4.3288244327387648E-2</v>
      </c>
      <c r="Y19" s="65">
        <f t="shared" si="4"/>
        <v>6.0472089675828622E-2</v>
      </c>
      <c r="Z19" s="65">
        <f t="shared" si="5"/>
        <v>6.0472089675828622E-2</v>
      </c>
      <c r="AB19" s="1">
        <v>0.5</v>
      </c>
      <c r="AC19" s="1">
        <v>-0.5</v>
      </c>
      <c r="AD19" s="1">
        <v>0</v>
      </c>
    </row>
    <row r="20" spans="2:30" x14ac:dyDescent="0.2">
      <c r="B20" s="1" t="str">
        <f>'Calculate-MWs'!E21</f>
        <v>C19</v>
      </c>
      <c r="C20" s="14">
        <f t="shared" si="6"/>
        <v>1.5099927183796333</v>
      </c>
      <c r="D20" s="14">
        <f t="shared" si="7"/>
        <v>1.5130791595788233</v>
      </c>
      <c r="E20" s="14">
        <f t="shared" si="8"/>
        <v>1.6173077122682935</v>
      </c>
      <c r="F20" s="14">
        <f t="shared" si="9"/>
        <v>1.4709397567863336</v>
      </c>
      <c r="G20" s="14">
        <f t="shared" si="10"/>
        <v>1.4682032495460278</v>
      </c>
      <c r="H20" s="14">
        <f t="shared" si="11"/>
        <v>1.4682032495460278</v>
      </c>
      <c r="I20" s="1">
        <f>'Calculate-MWs'!$C30/'Calculate-MWs'!G21</f>
        <v>8.4587403703943569E-3</v>
      </c>
      <c r="J20" s="1">
        <f>'Calculate-MWs'!$C30/'Calculate-MWs'!Q21</f>
        <v>8.5938034880051577E-3</v>
      </c>
      <c r="K20" s="1">
        <f>'Calculate-MWs'!$C30/'Calculate-MWs'!R21</f>
        <v>9.5135747780487855E-3</v>
      </c>
      <c r="L20" s="1">
        <f>'Calculate-MWs'!$C30/'Calculate-MWs'!AH21</f>
        <v>8.6525868046254915E-3</v>
      </c>
      <c r="M20" s="1">
        <f>'Calculate-MWs'!$C30/'Calculate-MWs'!AK21</f>
        <v>8.6364897032119286E-3</v>
      </c>
      <c r="N20" s="1">
        <f>'Calculate-MWs'!$C30/'Calculate-MWs'!AN21</f>
        <v>8.6364897032119286E-3</v>
      </c>
      <c r="O20" s="65">
        <f t="shared" si="12"/>
        <v>0</v>
      </c>
      <c r="P20" s="65">
        <f t="shared" si="13"/>
        <v>-3.0864411991899932E-3</v>
      </c>
      <c r="Q20" s="65">
        <f t="shared" si="14"/>
        <v>-0.10731499388866017</v>
      </c>
      <c r="R20" s="65">
        <f t="shared" si="15"/>
        <v>3.905296159329974E-2</v>
      </c>
      <c r="S20" s="65">
        <f t="shared" si="16"/>
        <v>4.178946883360557E-2</v>
      </c>
      <c r="T20" s="65">
        <f t="shared" si="17"/>
        <v>4.178946883360557E-2</v>
      </c>
      <c r="U20" s="65">
        <f t="shared" si="18"/>
        <v>0</v>
      </c>
      <c r="V20" s="65">
        <f t="shared" si="2"/>
        <v>3.0864411991899932E-3</v>
      </c>
      <c r="W20" s="65">
        <f t="shared" si="3"/>
        <v>0.10731499388866017</v>
      </c>
      <c r="X20" s="65">
        <f t="shared" si="3"/>
        <v>3.905296159329974E-2</v>
      </c>
      <c r="Y20" s="65">
        <f t="shared" si="4"/>
        <v>4.178946883360557E-2</v>
      </c>
      <c r="Z20" s="65">
        <f t="shared" si="5"/>
        <v>4.178946883360557E-2</v>
      </c>
      <c r="AB20" s="1">
        <v>0.5</v>
      </c>
      <c r="AC20" s="1">
        <v>-0.5</v>
      </c>
      <c r="AD20" s="1">
        <v>0</v>
      </c>
    </row>
    <row r="21" spans="2:30" x14ac:dyDescent="0.2">
      <c r="B21" s="1" t="str">
        <f>'Calculate-MWs'!E22</f>
        <v>C20</v>
      </c>
      <c r="C21" s="14">
        <f t="shared" si="6"/>
        <v>1.2057225404001246</v>
      </c>
      <c r="D21" s="14">
        <f t="shared" si="7"/>
        <v>1.2078171144573169</v>
      </c>
      <c r="E21" s="14">
        <f t="shared" si="8"/>
        <v>1.3007276996868349</v>
      </c>
      <c r="F21" s="14">
        <f t="shared" si="9"/>
        <v>1.1732042147604351</v>
      </c>
      <c r="G21" s="14">
        <f t="shared" si="10"/>
        <v>1.1797639194899467</v>
      </c>
      <c r="H21" s="14">
        <f t="shared" si="11"/>
        <v>1.1797639194899467</v>
      </c>
      <c r="I21" s="1">
        <f>'Calculate-MWs'!$C31/'Calculate-MWs'!G22</f>
        <v>6.7542669602548566E-3</v>
      </c>
      <c r="J21" s="1">
        <f>'Calculate-MWs'!$C31/'Calculate-MWs'!Q22</f>
        <v>6.8600131495994508E-3</v>
      </c>
      <c r="K21" s="1">
        <f>'Calculate-MWs'!$C31/'Calculate-MWs'!R22</f>
        <v>7.6513394099225578E-3</v>
      </c>
      <c r="L21" s="1">
        <f>'Calculate-MWs'!$C31/'Calculate-MWs'!AH22</f>
        <v>6.9012012632966779E-3</v>
      </c>
      <c r="M21" s="1">
        <f>'Calculate-MWs'!$C31/'Calculate-MWs'!AK22</f>
        <v>6.9397877617055686E-3</v>
      </c>
      <c r="N21" s="1">
        <f>'Calculate-MWs'!$C31/'Calculate-MWs'!AN22</f>
        <v>6.9397877617055686E-3</v>
      </c>
      <c r="O21" s="65">
        <f t="shared" si="12"/>
        <v>0</v>
      </c>
      <c r="P21" s="65">
        <f t="shared" si="13"/>
        <v>-2.0945740571922666E-3</v>
      </c>
      <c r="Q21" s="65">
        <f t="shared" si="14"/>
        <v>-9.5005159286710272E-2</v>
      </c>
      <c r="R21" s="65">
        <f t="shared" si="15"/>
        <v>3.2518325639689483E-2</v>
      </c>
      <c r="S21" s="65">
        <f t="shared" si="16"/>
        <v>2.5958620910177865E-2</v>
      </c>
      <c r="T21" s="65">
        <f t="shared" si="17"/>
        <v>2.5958620910177865E-2</v>
      </c>
      <c r="U21" s="65">
        <f t="shared" si="18"/>
        <v>0</v>
      </c>
      <c r="V21" s="65">
        <f t="shared" si="2"/>
        <v>2.0945740571922666E-3</v>
      </c>
      <c r="W21" s="65">
        <f t="shared" si="3"/>
        <v>9.5005159286710272E-2</v>
      </c>
      <c r="X21" s="65">
        <f t="shared" si="3"/>
        <v>3.2518325639689483E-2</v>
      </c>
      <c r="Y21" s="65">
        <f t="shared" si="4"/>
        <v>2.5958620910177865E-2</v>
      </c>
      <c r="Z21" s="65">
        <f t="shared" si="5"/>
        <v>2.5958620910177865E-2</v>
      </c>
      <c r="AB21" s="1">
        <v>0.5</v>
      </c>
      <c r="AC21" s="1">
        <v>-0.5</v>
      </c>
      <c r="AD21" s="1">
        <v>0</v>
      </c>
    </row>
    <row r="22" spans="2:30" x14ac:dyDescent="0.2">
      <c r="B22" s="1" t="str">
        <f>'Calculate-MWs'!E23</f>
        <v>C21</v>
      </c>
      <c r="C22" s="14">
        <f t="shared" si="6"/>
        <v>1.0570835319371454</v>
      </c>
      <c r="D22" s="14">
        <f t="shared" si="7"/>
        <v>1.0585919360824336</v>
      </c>
      <c r="E22" s="14">
        <f t="shared" si="8"/>
        <v>1.1483319272613488</v>
      </c>
      <c r="F22" s="14">
        <f t="shared" si="9"/>
        <v>1.0275168100415562</v>
      </c>
      <c r="G22" s="14">
        <f t="shared" si="10"/>
        <v>1.0259789951923832</v>
      </c>
      <c r="H22" s="14">
        <f t="shared" si="11"/>
        <v>1.0259789951923832</v>
      </c>
      <c r="I22" s="1">
        <f>'Calculate-MWs'!$C32/'Calculate-MWs'!G23</f>
        <v>5.9216147453154426E-3</v>
      </c>
      <c r="J22" s="1">
        <f>'Calculate-MWs'!$C32/'Calculate-MWs'!Q23</f>
        <v>6.0124620811059619E-3</v>
      </c>
      <c r="K22" s="1">
        <f>'Calculate-MWs'!$C32/'Calculate-MWs'!R23</f>
        <v>6.7548936897726406E-3</v>
      </c>
      <c r="L22" s="1">
        <f>'Calculate-MWs'!$C32/'Calculate-MWs'!AH23</f>
        <v>6.0442165296562128E-3</v>
      </c>
      <c r="M22" s="1">
        <f>'Calculate-MWs'!$C32/'Calculate-MWs'!AK23</f>
        <v>6.0351705599551954E-3</v>
      </c>
      <c r="N22" s="1">
        <f>'Calculate-MWs'!$C32/'Calculate-MWs'!AN23</f>
        <v>6.0351705599551954E-3</v>
      </c>
      <c r="O22" s="65">
        <f t="shared" si="12"/>
        <v>0</v>
      </c>
      <c r="P22" s="65">
        <f t="shared" si="13"/>
        <v>-1.5084041452881891E-3</v>
      </c>
      <c r="Q22" s="65">
        <f t="shared" si="14"/>
        <v>-9.1248395324203369E-2</v>
      </c>
      <c r="R22" s="65">
        <f t="shared" si="15"/>
        <v>2.9566721895589287E-2</v>
      </c>
      <c r="S22" s="65">
        <f t="shared" si="16"/>
        <v>3.1104536744762212E-2</v>
      </c>
      <c r="T22" s="65">
        <f t="shared" si="17"/>
        <v>3.1104536744762212E-2</v>
      </c>
      <c r="U22" s="65">
        <f t="shared" si="18"/>
        <v>0</v>
      </c>
      <c r="V22" s="65">
        <f t="shared" si="2"/>
        <v>1.5084041452881891E-3</v>
      </c>
      <c r="W22" s="65">
        <f t="shared" si="3"/>
        <v>9.1248395324203369E-2</v>
      </c>
      <c r="X22" s="65">
        <f t="shared" si="3"/>
        <v>2.9566721895589287E-2</v>
      </c>
      <c r="Y22" s="65">
        <f t="shared" si="4"/>
        <v>3.1104536744762212E-2</v>
      </c>
      <c r="Z22" s="65">
        <f t="shared" si="5"/>
        <v>3.1104536744762212E-2</v>
      </c>
      <c r="AB22" s="1">
        <v>0.5</v>
      </c>
      <c r="AC22" s="1">
        <v>-0.5</v>
      </c>
      <c r="AD22" s="1">
        <v>0</v>
      </c>
    </row>
    <row r="23" spans="2:30" x14ac:dyDescent="0.2">
      <c r="B23" s="1" t="str">
        <f>'Calculate-MWs'!E24</f>
        <v>C22</v>
      </c>
      <c r="C23" s="14">
        <f t="shared" si="6"/>
        <v>0.90841151354614635</v>
      </c>
      <c r="D23" s="14">
        <f t="shared" si="7"/>
        <v>0.90942650494374633</v>
      </c>
      <c r="E23" s="14">
        <f t="shared" si="8"/>
        <v>0.9934885154367542</v>
      </c>
      <c r="F23" s="14">
        <f t="shared" si="9"/>
        <v>0.88217833506795873</v>
      </c>
      <c r="G23" s="14">
        <f t="shared" si="10"/>
        <v>0.88099638964224647</v>
      </c>
      <c r="H23" s="14">
        <f t="shared" si="11"/>
        <v>0.89567966280295064</v>
      </c>
      <c r="I23" s="1">
        <f>'Calculate-MWs'!$C33/'Calculate-MWs'!G24</f>
        <v>5.0887776139804924E-3</v>
      </c>
      <c r="J23" s="1">
        <f>'Calculate-MWs'!$C33/'Calculate-MWs'!Q24</f>
        <v>5.1652503577178273E-3</v>
      </c>
      <c r="K23" s="1">
        <f>'Calculate-MWs'!$C33/'Calculate-MWs'!R24</f>
        <v>5.8440500908044368E-3</v>
      </c>
      <c r="L23" s="1">
        <f>'Calculate-MWs'!$C33/'Calculate-MWs'!AH24</f>
        <v>5.1892843239291688E-3</v>
      </c>
      <c r="M23" s="1">
        <f>'Calculate-MWs'!$C33/'Calculate-MWs'!AK24</f>
        <v>5.1823317037779206E-3</v>
      </c>
      <c r="N23" s="1">
        <f>'Calculate-MWs'!$C33/'Calculate-MWs'!AN24</f>
        <v>5.2687038988408859E-3</v>
      </c>
      <c r="O23" s="65">
        <f t="shared" si="12"/>
        <v>0</v>
      </c>
      <c r="P23" s="65">
        <f t="shared" si="13"/>
        <v>-1.0149913975999736E-3</v>
      </c>
      <c r="Q23" s="65">
        <f t="shared" si="14"/>
        <v>-8.5077001890607851E-2</v>
      </c>
      <c r="R23" s="65">
        <f t="shared" si="15"/>
        <v>2.6233178478187624E-2</v>
      </c>
      <c r="S23" s="65">
        <f t="shared" si="16"/>
        <v>2.7415123903899885E-2</v>
      </c>
      <c r="T23" s="65">
        <f t="shared" si="17"/>
        <v>1.2731850743195716E-2</v>
      </c>
      <c r="U23" s="65">
        <f t="shared" si="18"/>
        <v>0</v>
      </c>
      <c r="V23" s="65">
        <f t="shared" si="2"/>
        <v>1.0149913975999736E-3</v>
      </c>
      <c r="W23" s="65">
        <f t="shared" si="3"/>
        <v>8.5077001890607851E-2</v>
      </c>
      <c r="X23" s="65">
        <f t="shared" si="3"/>
        <v>2.6233178478187624E-2</v>
      </c>
      <c r="Y23" s="65">
        <f t="shared" si="4"/>
        <v>2.7415123903899885E-2</v>
      </c>
      <c r="Z23" s="65">
        <f t="shared" si="5"/>
        <v>1.2731850743195716E-2</v>
      </c>
      <c r="AB23" s="1">
        <v>0.5</v>
      </c>
      <c r="AC23" s="1">
        <v>-0.5</v>
      </c>
      <c r="AD23" s="1">
        <v>0</v>
      </c>
    </row>
    <row r="24" spans="2:30" x14ac:dyDescent="0.2">
      <c r="B24" s="1" t="str">
        <f>'Calculate-MWs'!E25</f>
        <v>C23</v>
      </c>
      <c r="C24" s="14">
        <f t="shared" si="6"/>
        <v>0.80477835183598423</v>
      </c>
      <c r="D24" s="14">
        <f t="shared" si="7"/>
        <v>0.80543112860359556</v>
      </c>
      <c r="E24" s="14">
        <f t="shared" si="8"/>
        <v>0.88590528997939499</v>
      </c>
      <c r="F24" s="14">
        <f t="shared" si="9"/>
        <v>0.78087151047646552</v>
      </c>
      <c r="G24" s="14">
        <f t="shared" si="10"/>
        <v>0.78238964256022936</v>
      </c>
      <c r="H24" s="14">
        <f t="shared" si="11"/>
        <v>0.79743559722484925</v>
      </c>
      <c r="I24" s="1">
        <f>'Calculate-MWs'!$C34/'Calculate-MWs'!G25</f>
        <v>4.5082410339034457E-3</v>
      </c>
      <c r="J24" s="1">
        <f>'Calculate-MWs'!$C34/'Calculate-MWs'!Q25</f>
        <v>4.57459003286267E-3</v>
      </c>
      <c r="K24" s="1">
        <f>'Calculate-MWs'!$C34/'Calculate-MWs'!R25</f>
        <v>5.2112075881140885E-3</v>
      </c>
      <c r="L24" s="1">
        <f>'Calculate-MWs'!$C34/'Calculate-MWs'!AH25</f>
        <v>4.5933618263321501E-3</v>
      </c>
      <c r="M24" s="1">
        <f>'Calculate-MWs'!$C34/'Calculate-MWs'!AK25</f>
        <v>4.6022920150601727E-3</v>
      </c>
      <c r="N24" s="1">
        <f>'Calculate-MWs'!$C34/'Calculate-MWs'!AN25</f>
        <v>4.6907976307344074E-3</v>
      </c>
      <c r="O24" s="65">
        <f t="shared" si="12"/>
        <v>0</v>
      </c>
      <c r="P24" s="65">
        <f t="shared" si="13"/>
        <v>-6.5277676761132941E-4</v>
      </c>
      <c r="Q24" s="65">
        <f t="shared" si="14"/>
        <v>-8.1126938143410765E-2</v>
      </c>
      <c r="R24" s="65">
        <f t="shared" si="15"/>
        <v>2.3906841359518705E-2</v>
      </c>
      <c r="S24" s="65">
        <f t="shared" si="16"/>
        <v>2.238870927575487E-2</v>
      </c>
      <c r="T24" s="65">
        <f t="shared" si="17"/>
        <v>7.3427546111349828E-3</v>
      </c>
      <c r="U24" s="65">
        <f t="shared" si="18"/>
        <v>0</v>
      </c>
      <c r="V24" s="65">
        <f t="shared" si="2"/>
        <v>6.5277676761132941E-4</v>
      </c>
      <c r="W24" s="65">
        <f t="shared" si="3"/>
        <v>8.1126938143410765E-2</v>
      </c>
      <c r="X24" s="65">
        <f t="shared" si="3"/>
        <v>2.3906841359518705E-2</v>
      </c>
      <c r="Y24" s="65">
        <f t="shared" si="4"/>
        <v>2.238870927575487E-2</v>
      </c>
      <c r="Z24" s="65">
        <f t="shared" si="5"/>
        <v>7.3427546111349828E-3</v>
      </c>
      <c r="AB24" s="1">
        <v>0.5</v>
      </c>
      <c r="AC24" s="1">
        <v>-0.5</v>
      </c>
      <c r="AD24" s="1">
        <v>0</v>
      </c>
    </row>
    <row r="25" spans="2:30" x14ac:dyDescent="0.2">
      <c r="B25" s="1" t="str">
        <f>'Calculate-MWs'!E26</f>
        <v>C24</v>
      </c>
      <c r="C25" s="14">
        <f t="shared" si="6"/>
        <v>0.70355831637983857</v>
      </c>
      <c r="D25" s="14">
        <f t="shared" si="7"/>
        <v>0.70391731624212073</v>
      </c>
      <c r="E25" s="14">
        <f t="shared" si="8"/>
        <v>0.77939085971849043</v>
      </c>
      <c r="F25" s="14">
        <f t="shared" si="9"/>
        <v>0.68212488605498711</v>
      </c>
      <c r="G25" s="14">
        <f t="shared" si="10"/>
        <v>0.68551514977869321</v>
      </c>
      <c r="H25" s="14">
        <f t="shared" si="11"/>
        <v>0.70032566227391202</v>
      </c>
      <c r="I25" s="1">
        <f>'Calculate-MWs'!$C35/'Calculate-MWs'!G26</f>
        <v>3.9412224054133525E-3</v>
      </c>
      <c r="J25" s="1">
        <f>'Calculate-MWs'!$C35/'Calculate-MWs'!Q26</f>
        <v>3.9980241941027341E-3</v>
      </c>
      <c r="K25" s="1">
        <f>'Calculate-MWs'!$C35/'Calculate-MWs'!R26</f>
        <v>4.5846521159911202E-3</v>
      </c>
      <c r="L25" s="1">
        <f>'Calculate-MWs'!$C35/'Calculate-MWs'!AH26</f>
        <v>4.0124993297352184E-3</v>
      </c>
      <c r="M25" s="1">
        <f>'Calculate-MWs'!$C35/'Calculate-MWs'!AK26</f>
        <v>4.032442057521725E-3</v>
      </c>
      <c r="N25" s="1">
        <f>'Calculate-MWs'!$C35/'Calculate-MWs'!AN26</f>
        <v>4.1195627192583059E-3</v>
      </c>
      <c r="O25" s="65">
        <f t="shared" si="12"/>
        <v>0</v>
      </c>
      <c r="P25" s="65">
        <f t="shared" si="13"/>
        <v>-3.5899986228216108E-4</v>
      </c>
      <c r="Q25" s="65">
        <f t="shared" si="14"/>
        <v>-7.5832543338651859E-2</v>
      </c>
      <c r="R25" s="65">
        <f t="shared" si="15"/>
        <v>2.1433430324851455E-2</v>
      </c>
      <c r="S25" s="65">
        <f t="shared" si="16"/>
        <v>1.8043166601145355E-2</v>
      </c>
      <c r="T25" s="65">
        <f t="shared" si="17"/>
        <v>3.2326541059265468E-3</v>
      </c>
      <c r="U25" s="65">
        <f t="shared" si="18"/>
        <v>0</v>
      </c>
      <c r="V25" s="65">
        <f t="shared" si="2"/>
        <v>3.5899986228216108E-4</v>
      </c>
      <c r="W25" s="65">
        <f t="shared" si="3"/>
        <v>7.5832543338651859E-2</v>
      </c>
      <c r="X25" s="65">
        <f t="shared" si="3"/>
        <v>2.1433430324851455E-2</v>
      </c>
      <c r="Y25" s="65">
        <f t="shared" si="4"/>
        <v>1.8043166601145355E-2</v>
      </c>
      <c r="Z25" s="65">
        <f t="shared" si="5"/>
        <v>3.2326541059265468E-3</v>
      </c>
      <c r="AB25" s="1">
        <v>0.5</v>
      </c>
      <c r="AC25" s="1">
        <v>-0.5</v>
      </c>
      <c r="AD25" s="1">
        <v>0</v>
      </c>
    </row>
    <row r="26" spans="2:30" x14ac:dyDescent="0.2">
      <c r="B26" s="1" t="str">
        <f>'Calculate-MWs'!E27</f>
        <v>C25</v>
      </c>
      <c r="C26" s="14">
        <f t="shared" si="6"/>
        <v>0.64594627550507122</v>
      </c>
      <c r="D26" s="14">
        <f t="shared" si="7"/>
        <v>0.64608580819959538</v>
      </c>
      <c r="E26" s="14">
        <f t="shared" si="8"/>
        <v>0.71996805530687413</v>
      </c>
      <c r="F26" s="14">
        <f t="shared" si="9"/>
        <v>0.62581782873546576</v>
      </c>
      <c r="G26" s="14">
        <f t="shared" si="10"/>
        <v>0.6288507777489315</v>
      </c>
      <c r="H26" s="14">
        <f t="shared" si="11"/>
        <v>0.64377898612279338</v>
      </c>
      <c r="I26" s="1">
        <f>'Calculate-MWs'!$C36/'Calculate-MWs'!G27</f>
        <v>3.6184888650217465E-3</v>
      </c>
      <c r="J26" s="1">
        <f>'Calculate-MWs'!$C36/'Calculate-MWs'!Q27</f>
        <v>3.6695598091522497E-3</v>
      </c>
      <c r="K26" s="1">
        <f>'Calculate-MWs'!$C36/'Calculate-MWs'!R27</f>
        <v>4.2351062076874946E-3</v>
      </c>
      <c r="L26" s="1">
        <f>'Calculate-MWs'!$C36/'Calculate-MWs'!AH27</f>
        <v>3.6812813455027399E-3</v>
      </c>
      <c r="M26" s="1">
        <f>'Calculate-MWs'!$C36/'Calculate-MWs'!AK27</f>
        <v>3.6991222220525382E-3</v>
      </c>
      <c r="N26" s="1">
        <f>'Calculate-MWs'!$C36/'Calculate-MWs'!AN27</f>
        <v>3.7869352124870201E-3</v>
      </c>
      <c r="O26" s="65">
        <f t="shared" si="12"/>
        <v>0</v>
      </c>
      <c r="P26" s="65">
        <f t="shared" si="13"/>
        <v>-1.3953269452415817E-4</v>
      </c>
      <c r="Q26" s="65">
        <f t="shared" si="14"/>
        <v>-7.4021779801802912E-2</v>
      </c>
      <c r="R26" s="65">
        <f t="shared" si="15"/>
        <v>2.0128446769605457E-2</v>
      </c>
      <c r="S26" s="65">
        <f t="shared" si="16"/>
        <v>1.7095497756139721E-2</v>
      </c>
      <c r="T26" s="65">
        <f t="shared" si="17"/>
        <v>2.1672893822778372E-3</v>
      </c>
      <c r="U26" s="65">
        <f t="shared" si="18"/>
        <v>0</v>
      </c>
      <c r="V26" s="65">
        <f t="shared" si="2"/>
        <v>1.3953269452415817E-4</v>
      </c>
      <c r="W26" s="65">
        <f t="shared" si="3"/>
        <v>7.4021779801802912E-2</v>
      </c>
      <c r="X26" s="65">
        <f t="shared" si="3"/>
        <v>2.0128446769605457E-2</v>
      </c>
      <c r="Y26" s="65">
        <f t="shared" si="4"/>
        <v>1.7095497756139721E-2</v>
      </c>
      <c r="Z26" s="65">
        <f t="shared" si="5"/>
        <v>2.1672893822778372E-3</v>
      </c>
      <c r="AB26" s="1">
        <v>0.5</v>
      </c>
      <c r="AC26" s="1">
        <v>-0.5</v>
      </c>
      <c r="AD26" s="1">
        <v>0</v>
      </c>
    </row>
    <row r="27" spans="2:30" x14ac:dyDescent="0.2">
      <c r="B27" s="1" t="str">
        <f>'Calculate-MWs'!E28</f>
        <v>C26</v>
      </c>
      <c r="C27" s="14">
        <f t="shared" si="6"/>
        <v>0.56424437766920943</v>
      </c>
      <c r="D27" s="14">
        <f t="shared" si="7"/>
        <v>0.56420442676121485</v>
      </c>
      <c r="E27" s="14">
        <f t="shared" si="8"/>
        <v>0.63265525144003165</v>
      </c>
      <c r="F27" s="14">
        <f t="shared" si="9"/>
        <v>0.54629924500084159</v>
      </c>
      <c r="G27" s="14">
        <f t="shared" si="10"/>
        <v>0.54888447302687782</v>
      </c>
      <c r="H27" s="14">
        <f t="shared" si="11"/>
        <v>0.56461182182420955</v>
      </c>
      <c r="I27" s="1">
        <f>'Calculate-MWs'!$C37/'Calculate-MWs'!G28</f>
        <v>3.160807756265374E-3</v>
      </c>
      <c r="J27" s="1">
        <f>'Calculate-MWs'!$C37/'Calculate-MWs'!Q28</f>
        <v>3.2044998703161963E-3</v>
      </c>
      <c r="K27" s="1">
        <f>'Calculate-MWs'!$C37/'Calculate-MWs'!R28</f>
        <v>3.7215014790590098E-3</v>
      </c>
      <c r="L27" s="1">
        <f>'Calculate-MWs'!$C37/'Calculate-MWs'!AH28</f>
        <v>3.2135249705931858E-3</v>
      </c>
      <c r="M27" s="1">
        <f>'Calculate-MWs'!$C37/'Calculate-MWs'!AK28</f>
        <v>3.228732194275752E-3</v>
      </c>
      <c r="N27" s="1">
        <f>'Calculate-MWs'!$C37/'Calculate-MWs'!AN28</f>
        <v>3.3212460107306446E-3</v>
      </c>
      <c r="O27" s="65">
        <f t="shared" si="12"/>
        <v>0</v>
      </c>
      <c r="P27" s="65">
        <f t="shared" si="13"/>
        <v>3.9950907994579232E-5</v>
      </c>
      <c r="Q27" s="65">
        <f t="shared" si="14"/>
        <v>-6.8410873770822223E-2</v>
      </c>
      <c r="R27" s="65">
        <f t="shared" si="15"/>
        <v>1.7945132668367836E-2</v>
      </c>
      <c r="S27" s="65">
        <f t="shared" si="16"/>
        <v>1.5359904642331612E-2</v>
      </c>
      <c r="T27" s="65">
        <f t="shared" si="17"/>
        <v>-3.674441550001184E-4</v>
      </c>
      <c r="U27" s="65">
        <f t="shared" si="18"/>
        <v>0</v>
      </c>
      <c r="V27" s="65">
        <f t="shared" si="2"/>
        <v>3.9950907994579232E-5</v>
      </c>
      <c r="W27" s="65">
        <f t="shared" si="3"/>
        <v>6.8410873770822223E-2</v>
      </c>
      <c r="X27" s="65">
        <f t="shared" si="3"/>
        <v>1.7945132668367836E-2</v>
      </c>
      <c r="Y27" s="65">
        <f t="shared" si="4"/>
        <v>1.5359904642331612E-2</v>
      </c>
      <c r="Z27" s="65">
        <f t="shared" si="5"/>
        <v>3.674441550001184E-4</v>
      </c>
      <c r="AB27" s="1">
        <v>0.5</v>
      </c>
      <c r="AC27" s="1">
        <v>-0.5</v>
      </c>
      <c r="AD27" s="1">
        <v>0</v>
      </c>
    </row>
    <row r="28" spans="2:30" x14ac:dyDescent="0.2">
      <c r="B28" s="1" t="str">
        <f>'Calculate-MWs'!E29</f>
        <v>C27</v>
      </c>
      <c r="C28" s="14">
        <f t="shared" si="6"/>
        <v>0.48307296380427633</v>
      </c>
      <c r="D28" s="14">
        <f t="shared" si="7"/>
        <v>0.48290403557494793</v>
      </c>
      <c r="E28" s="14">
        <f t="shared" si="8"/>
        <v>0.54477976482552593</v>
      </c>
      <c r="F28" s="14">
        <f t="shared" si="9"/>
        <v>0.46742218645241695</v>
      </c>
      <c r="G28" s="14">
        <f t="shared" si="10"/>
        <v>0.46832923545252308</v>
      </c>
      <c r="H28" s="14">
        <f t="shared" si="11"/>
        <v>0.48654203905345456</v>
      </c>
      <c r="I28" s="1">
        <f>'Calculate-MWs'!$C38/'Calculate-MWs'!G29</f>
        <v>2.7060983348066443E-3</v>
      </c>
      <c r="J28" s="1">
        <f>'Calculate-MWs'!$C38/'Calculate-MWs'!Q29</f>
        <v>2.7427397694453287E-3</v>
      </c>
      <c r="K28" s="1">
        <f>'Calculate-MWs'!$C38/'Calculate-MWs'!R29</f>
        <v>3.2045868519148583E-3</v>
      </c>
      <c r="L28" s="1">
        <f>'Calculate-MWs'!$C38/'Calculate-MWs'!AH29</f>
        <v>2.7495422732495113E-3</v>
      </c>
      <c r="M28" s="1">
        <f>'Calculate-MWs'!$C38/'Calculate-MWs'!AK29</f>
        <v>2.7548778556030769E-3</v>
      </c>
      <c r="N28" s="1">
        <f>'Calculate-MWs'!$C38/'Calculate-MWs'!AN29</f>
        <v>2.8620119944320855E-3</v>
      </c>
      <c r="O28" s="65">
        <f t="shared" si="12"/>
        <v>0</v>
      </c>
      <c r="P28" s="65">
        <f t="shared" si="13"/>
        <v>1.6892822932840224E-4</v>
      </c>
      <c r="Q28" s="65">
        <f t="shared" si="14"/>
        <v>-6.1706801021249591E-2</v>
      </c>
      <c r="R28" s="65">
        <f t="shared" si="15"/>
        <v>1.565077735185938E-2</v>
      </c>
      <c r="S28" s="65">
        <f t="shared" si="16"/>
        <v>1.4743728351753249E-2</v>
      </c>
      <c r="T28" s="65">
        <f t="shared" si="17"/>
        <v>-3.4690752491782217E-3</v>
      </c>
      <c r="U28" s="65">
        <f t="shared" si="18"/>
        <v>0</v>
      </c>
      <c r="V28" s="65">
        <f t="shared" si="2"/>
        <v>1.6892822932840224E-4</v>
      </c>
      <c r="W28" s="65">
        <f t="shared" si="3"/>
        <v>6.1706801021249591E-2</v>
      </c>
      <c r="X28" s="65">
        <f t="shared" si="3"/>
        <v>1.565077735185938E-2</v>
      </c>
      <c r="Y28" s="65">
        <f t="shared" si="4"/>
        <v>1.4743728351753249E-2</v>
      </c>
      <c r="Z28" s="65">
        <f t="shared" si="5"/>
        <v>3.4690752491782217E-3</v>
      </c>
      <c r="AB28" s="1">
        <v>0.5</v>
      </c>
      <c r="AC28" s="1">
        <v>-0.5</v>
      </c>
      <c r="AD28" s="1">
        <v>0</v>
      </c>
    </row>
    <row r="29" spans="2:30" x14ac:dyDescent="0.2">
      <c r="B29" s="1" t="str">
        <f>'Calculate-MWs'!E30</f>
        <v>C28</v>
      </c>
      <c r="C29" s="14">
        <f t="shared" si="6"/>
        <v>0.43943638666215801</v>
      </c>
      <c r="D29" s="14">
        <f t="shared" si="7"/>
        <v>0.43916375984653871</v>
      </c>
      <c r="E29" s="14">
        <f t="shared" si="8"/>
        <v>0.49835782948387641</v>
      </c>
      <c r="F29" s="14">
        <f t="shared" si="9"/>
        <v>0.42495695413381002</v>
      </c>
      <c r="G29" s="14">
        <f t="shared" si="10"/>
        <v>0.42578128300483897</v>
      </c>
      <c r="H29" s="14">
        <f t="shared" si="11"/>
        <v>0.44409445646741263</v>
      </c>
      <c r="I29" s="1">
        <f>'Calculate-MWs'!$C39/'Calculate-MWs'!G30</f>
        <v>2.4616531317238409E-3</v>
      </c>
      <c r="J29" s="1">
        <f>'Calculate-MWs'!$C39/'Calculate-MWs'!Q30</f>
        <v>2.4943090566558251E-3</v>
      </c>
      <c r="K29" s="1">
        <f>'Calculate-MWs'!$C39/'Calculate-MWs'!R30</f>
        <v>2.9315166440228029E-3</v>
      </c>
      <c r="L29" s="1">
        <f>'Calculate-MWs'!$C39/'Calculate-MWs'!AH30</f>
        <v>2.4997467890224118E-3</v>
      </c>
      <c r="M29" s="1">
        <f>'Calculate-MWs'!$C39/'Calculate-MWs'!AK30</f>
        <v>2.5045957823814058E-3</v>
      </c>
      <c r="N29" s="1">
        <f>'Calculate-MWs'!$C39/'Calculate-MWs'!AN30</f>
        <v>2.6123203321612512E-3</v>
      </c>
      <c r="O29" s="65">
        <f t="shared" si="12"/>
        <v>0</v>
      </c>
      <c r="P29" s="65">
        <f t="shared" si="13"/>
        <v>2.7262681561929236E-4</v>
      </c>
      <c r="Q29" s="65">
        <f t="shared" si="14"/>
        <v>-5.8921442821718406E-2</v>
      </c>
      <c r="R29" s="65">
        <f t="shared" si="15"/>
        <v>1.4479432528347991E-2</v>
      </c>
      <c r="S29" s="65">
        <f t="shared" si="16"/>
        <v>1.3655103657319034E-2</v>
      </c>
      <c r="T29" s="65">
        <f t="shared" si="17"/>
        <v>-4.6580698052546277E-3</v>
      </c>
      <c r="U29" s="65">
        <f t="shared" si="18"/>
        <v>0</v>
      </c>
      <c r="V29" s="65">
        <f t="shared" si="2"/>
        <v>2.7262681561929236E-4</v>
      </c>
      <c r="W29" s="65">
        <f t="shared" si="3"/>
        <v>5.8921442821718406E-2</v>
      </c>
      <c r="X29" s="65">
        <f t="shared" si="3"/>
        <v>1.4479432528347991E-2</v>
      </c>
      <c r="Y29" s="65">
        <f t="shared" si="4"/>
        <v>1.3655103657319034E-2</v>
      </c>
      <c r="Z29" s="65">
        <f t="shared" si="5"/>
        <v>4.6580698052546277E-3</v>
      </c>
      <c r="AB29" s="1">
        <v>0.5</v>
      </c>
      <c r="AC29" s="1">
        <v>-0.5</v>
      </c>
      <c r="AD29" s="1">
        <v>0</v>
      </c>
    </row>
    <row r="30" spans="2:30" x14ac:dyDescent="0.2">
      <c r="B30" s="1" t="str">
        <f>'Calculate-MWs'!E31</f>
        <v>C29</v>
      </c>
      <c r="C30" s="14">
        <f t="shared" si="6"/>
        <v>0.38856889124080563</v>
      </c>
      <c r="D30" s="14">
        <f t="shared" si="7"/>
        <v>0.38822585027835443</v>
      </c>
      <c r="E30" s="14">
        <f t="shared" si="8"/>
        <v>0.44308017982732695</v>
      </c>
      <c r="F30" s="14">
        <f t="shared" si="9"/>
        <v>0.37556612374721782</v>
      </c>
      <c r="G30" s="14">
        <f t="shared" si="10"/>
        <v>0.37629438569941537</v>
      </c>
      <c r="H30" s="14">
        <f t="shared" si="11"/>
        <v>0.39599566243760465</v>
      </c>
      <c r="I30" s="1">
        <f>'Calculate-MWs'!$C40/'Calculate-MWs'!G31</f>
        <v>2.1767014681667017E-3</v>
      </c>
      <c r="J30" s="1">
        <f>'Calculate-MWs'!$C40/'Calculate-MWs'!Q31</f>
        <v>2.2049980961898808E-3</v>
      </c>
      <c r="K30" s="1">
        <f>'Calculate-MWs'!$C40/'Calculate-MWs'!R31</f>
        <v>2.6063539989842764E-3</v>
      </c>
      <c r="L30" s="1">
        <f>'Calculate-MWs'!$C40/'Calculate-MWs'!AH31</f>
        <v>2.2092124926306931E-3</v>
      </c>
      <c r="M30" s="1">
        <f>'Calculate-MWs'!$C40/'Calculate-MWs'!AK31</f>
        <v>2.2134963864671492E-3</v>
      </c>
      <c r="N30" s="1">
        <f>'Calculate-MWs'!$C40/'Calculate-MWs'!AN31</f>
        <v>2.3293862496329685E-3</v>
      </c>
      <c r="O30" s="65">
        <f t="shared" si="12"/>
        <v>0</v>
      </c>
      <c r="P30" s="65">
        <f t="shared" si="13"/>
        <v>3.4304096245119098E-4</v>
      </c>
      <c r="Q30" s="65">
        <f t="shared" si="14"/>
        <v>-5.4511288586521323E-2</v>
      </c>
      <c r="R30" s="65">
        <f t="shared" si="15"/>
        <v>1.3002767493587808E-2</v>
      </c>
      <c r="S30" s="65">
        <f t="shared" si="16"/>
        <v>1.2274505541390257E-2</v>
      </c>
      <c r="T30" s="65">
        <f t="shared" si="17"/>
        <v>-7.4267711967990202E-3</v>
      </c>
      <c r="U30" s="65">
        <f t="shared" si="18"/>
        <v>0</v>
      </c>
      <c r="V30" s="65">
        <f t="shared" si="2"/>
        <v>3.4304096245119098E-4</v>
      </c>
      <c r="W30" s="65">
        <f t="shared" si="3"/>
        <v>5.4511288586521323E-2</v>
      </c>
      <c r="X30" s="65">
        <f t="shared" si="3"/>
        <v>1.3002767493587808E-2</v>
      </c>
      <c r="Y30" s="65">
        <f t="shared" si="4"/>
        <v>1.2274505541390257E-2</v>
      </c>
      <c r="Z30" s="65">
        <f t="shared" si="5"/>
        <v>7.4267711967990202E-3</v>
      </c>
      <c r="AB30" s="1">
        <v>0.5</v>
      </c>
      <c r="AC30" s="1">
        <v>-0.5</v>
      </c>
      <c r="AD30" s="1">
        <v>0</v>
      </c>
    </row>
    <row r="31" spans="2:30" x14ac:dyDescent="0.2">
      <c r="B31" s="1" t="str">
        <f>'Calculate-MWs'!E32</f>
        <v>C30+</v>
      </c>
      <c r="C31" s="14">
        <f t="shared" si="6"/>
        <v>3.0826455560426873</v>
      </c>
      <c r="D31" s="14">
        <f t="shared" si="7"/>
        <v>3.0403995898516216</v>
      </c>
      <c r="E31" s="14">
        <f t="shared" si="8"/>
        <v>2.9356437790537004</v>
      </c>
      <c r="F31" s="14">
        <f t="shared" si="9"/>
        <v>3.5452307956167113</v>
      </c>
      <c r="G31" s="14">
        <f t="shared" si="10"/>
        <v>2.9879203285676312</v>
      </c>
      <c r="H31" s="14">
        <f t="shared" si="11"/>
        <v>2.8564977772741518</v>
      </c>
      <c r="I31" s="1">
        <f>'Calculate-MWs'!$C41/'Calculate-MWs'!R32</f>
        <v>1.7268492817962944E-2</v>
      </c>
      <c r="J31" s="1">
        <f>'Calculate-MWs'!$C41/'Calculate-MWs'!R32</f>
        <v>1.7268492817962944E-2</v>
      </c>
      <c r="K31" s="1">
        <f>'Calculate-MWs'!$C41/'Calculate-MWs'!R32</f>
        <v>1.7268492817962944E-2</v>
      </c>
      <c r="L31" s="1">
        <f>'Calculate-MWs'!$C41/'Calculate-MWs'!AH32</f>
        <v>2.0854298797745363E-2</v>
      </c>
      <c r="M31" s="1">
        <f>'Calculate-MWs'!$C41/'Calculate-MWs'!AK32</f>
        <v>1.7576001932750773E-2</v>
      </c>
      <c r="N31" s="1">
        <f>'Calculate-MWs'!$C41/'Calculate-MWs'!AN32</f>
        <v>1.6802928101612657E-2</v>
      </c>
      <c r="O31" s="65">
        <f t="shared" si="12"/>
        <v>0</v>
      </c>
      <c r="P31" s="65">
        <f t="shared" si="13"/>
        <v>4.2245966191065687E-2</v>
      </c>
      <c r="Q31" s="65">
        <f t="shared" si="14"/>
        <v>0.14700177698898687</v>
      </c>
      <c r="R31" s="65">
        <f t="shared" si="15"/>
        <v>-0.46258523957402398</v>
      </c>
      <c r="S31" s="65">
        <f t="shared" si="16"/>
        <v>9.4725227475056073E-2</v>
      </c>
      <c r="T31" s="65">
        <f t="shared" si="17"/>
        <v>0.22614777876853553</v>
      </c>
      <c r="U31" s="65">
        <f t="shared" si="18"/>
        <v>0</v>
      </c>
      <c r="V31" s="65">
        <f t="shared" si="2"/>
        <v>4.2245966191065687E-2</v>
      </c>
      <c r="W31" s="65">
        <f t="shared" si="3"/>
        <v>0.14700177698898687</v>
      </c>
      <c r="X31" s="65">
        <f t="shared" si="3"/>
        <v>0.46258523957402398</v>
      </c>
      <c r="Y31" s="65">
        <f t="shared" si="4"/>
        <v>9.4725227475056073E-2</v>
      </c>
      <c r="Z31" s="65">
        <f t="shared" si="5"/>
        <v>0.22614777876853553</v>
      </c>
      <c r="AB31" s="1">
        <v>0.5</v>
      </c>
      <c r="AC31" s="1">
        <v>-0.5</v>
      </c>
      <c r="AD31" s="1">
        <v>0</v>
      </c>
    </row>
    <row r="32" spans="2:30" x14ac:dyDescent="0.2">
      <c r="B32" s="1" t="s">
        <v>32</v>
      </c>
      <c r="C32" s="1">
        <f t="shared" ref="C32:H32" si="19">SUM(C8:C31)</f>
        <v>99.999999999999972</v>
      </c>
      <c r="D32" s="1">
        <f t="shared" si="19"/>
        <v>99.999999999999972</v>
      </c>
      <c r="E32" s="1">
        <f t="shared" si="19"/>
        <v>99.999999999999986</v>
      </c>
      <c r="F32" s="1">
        <f t="shared" si="19"/>
        <v>99.999999999999986</v>
      </c>
      <c r="G32" s="1">
        <f t="shared" si="19"/>
        <v>100.00000000000003</v>
      </c>
      <c r="H32" s="1">
        <f t="shared" si="19"/>
        <v>99.999999999999986</v>
      </c>
    </row>
  </sheetData>
  <mergeCells count="2">
    <mergeCell ref="O2:T2"/>
    <mergeCell ref="U2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C43F-2ED2-4435-BF29-A8047F81BFE7}">
  <dimension ref="B2:Z47"/>
  <sheetViews>
    <sheetView topLeftCell="A3" workbookViewId="0">
      <selection activeCell="I21" sqref="I21"/>
    </sheetView>
  </sheetViews>
  <sheetFormatPr defaultColWidth="8.7109375" defaultRowHeight="14.25" x14ac:dyDescent="0.2"/>
  <cols>
    <col min="1" max="1" width="8.7109375" style="1"/>
    <col min="2" max="2" width="11.5703125" style="1" bestFit="1" customWidth="1"/>
    <col min="3" max="3" width="8.7109375" style="1"/>
    <col min="4" max="4" width="8.7109375" style="1" customWidth="1"/>
    <col min="5" max="5" width="13.42578125" style="1" customWidth="1"/>
    <col min="6" max="14" width="8.7109375" style="1"/>
    <col min="15" max="23" width="10.140625" style="1" customWidth="1"/>
    <col min="24" max="24" width="8.7109375" style="1"/>
    <col min="25" max="25" width="18" style="1" bestFit="1" customWidth="1"/>
    <col min="26" max="26" width="10.42578125" style="1" bestFit="1" customWidth="1"/>
    <col min="27" max="16384" width="8.7109375" style="1"/>
  </cols>
  <sheetData>
    <row r="2" spans="2:26" ht="15" x14ac:dyDescent="0.25">
      <c r="B2" s="1" t="s">
        <v>119</v>
      </c>
      <c r="E2" s="128" t="s">
        <v>120</v>
      </c>
      <c r="F2" s="130"/>
      <c r="G2" s="129"/>
    </row>
    <row r="3" spans="2:26" x14ac:dyDescent="0.2">
      <c r="E3" s="95"/>
      <c r="F3" s="95" t="s">
        <v>121</v>
      </c>
      <c r="G3" s="13">
        <v>14.7</v>
      </c>
    </row>
    <row r="4" spans="2:26" ht="15" x14ac:dyDescent="0.25">
      <c r="E4" s="95"/>
      <c r="F4" s="95" t="s">
        <v>122</v>
      </c>
      <c r="G4" s="13">
        <v>60</v>
      </c>
      <c r="Y4" s="43" t="s">
        <v>123</v>
      </c>
      <c r="Z4" s="44" t="s">
        <v>124</v>
      </c>
    </row>
    <row r="5" spans="2:26" ht="15" x14ac:dyDescent="0.25">
      <c r="E5" s="96"/>
      <c r="F5" s="96" t="s">
        <v>125</v>
      </c>
      <c r="G5" s="8">
        <v>150</v>
      </c>
      <c r="Y5" s="48" t="s">
        <v>111</v>
      </c>
      <c r="Z5" s="47" t="s">
        <v>126</v>
      </c>
    </row>
    <row r="6" spans="2:26" x14ac:dyDescent="0.2">
      <c r="Y6" s="71"/>
      <c r="Z6" s="75" t="s">
        <v>127</v>
      </c>
    </row>
    <row r="7" spans="2:26" ht="15" x14ac:dyDescent="0.25">
      <c r="B7" s="2" t="s">
        <v>3</v>
      </c>
      <c r="E7" s="94" t="s">
        <v>3</v>
      </c>
      <c r="F7" s="128" t="s">
        <v>128</v>
      </c>
      <c r="G7" s="130"/>
      <c r="H7" s="129"/>
      <c r="I7" s="128" t="s">
        <v>129</v>
      </c>
      <c r="J7" s="130"/>
      <c r="K7" s="129"/>
      <c r="L7" s="128" t="s">
        <v>130</v>
      </c>
      <c r="M7" s="130"/>
      <c r="N7" s="129"/>
      <c r="O7" s="128" t="s">
        <v>50</v>
      </c>
      <c r="P7" s="130"/>
      <c r="Q7" s="129"/>
      <c r="R7" s="128" t="s">
        <v>51</v>
      </c>
      <c r="S7" s="130"/>
      <c r="T7" s="129"/>
      <c r="U7" s="128" t="s">
        <v>52</v>
      </c>
      <c r="V7" s="130"/>
      <c r="W7" s="129"/>
      <c r="Y7" s="9" t="s">
        <v>128</v>
      </c>
      <c r="Z7" s="109">
        <f>F45</f>
        <v>2976.39</v>
      </c>
    </row>
    <row r="8" spans="2:26" ht="16.5" x14ac:dyDescent="0.3">
      <c r="B8" s="2" t="s">
        <v>5</v>
      </c>
      <c r="C8" s="2" t="s">
        <v>131</v>
      </c>
      <c r="E8" s="91" t="s">
        <v>5</v>
      </c>
      <c r="F8" s="48" t="s">
        <v>91</v>
      </c>
      <c r="G8" s="45" t="s">
        <v>131</v>
      </c>
      <c r="H8" s="47" t="s">
        <v>112</v>
      </c>
      <c r="I8" s="48" t="s">
        <v>91</v>
      </c>
      <c r="J8" s="45" t="s">
        <v>131</v>
      </c>
      <c r="K8" s="47" t="s">
        <v>112</v>
      </c>
      <c r="L8" s="48" t="s">
        <v>91</v>
      </c>
      <c r="M8" s="45" t="s">
        <v>131</v>
      </c>
      <c r="N8" s="47" t="s">
        <v>112</v>
      </c>
      <c r="O8" s="48" t="s">
        <v>91</v>
      </c>
      <c r="P8" s="45" t="s">
        <v>131</v>
      </c>
      <c r="Q8" s="47" t="s">
        <v>112</v>
      </c>
      <c r="R8" s="48" t="s">
        <v>91</v>
      </c>
      <c r="S8" s="45" t="s">
        <v>131</v>
      </c>
      <c r="T8" s="47" t="s">
        <v>112</v>
      </c>
      <c r="U8" s="48" t="s">
        <v>91</v>
      </c>
      <c r="V8" s="45" t="s">
        <v>131</v>
      </c>
      <c r="W8" s="47" t="s">
        <v>112</v>
      </c>
      <c r="Y8" s="11" t="s">
        <v>129</v>
      </c>
      <c r="Z8" s="110">
        <f>I45</f>
        <v>2883.54</v>
      </c>
    </row>
    <row r="9" spans="2:26" x14ac:dyDescent="0.2">
      <c r="E9" s="92"/>
      <c r="F9" s="71"/>
      <c r="G9" s="93" t="s">
        <v>7</v>
      </c>
      <c r="H9" s="75" t="s">
        <v>117</v>
      </c>
      <c r="I9" s="71"/>
      <c r="J9" s="93" t="s">
        <v>7</v>
      </c>
      <c r="K9" s="75" t="s">
        <v>117</v>
      </c>
      <c r="L9" s="71"/>
      <c r="M9" s="93" t="s">
        <v>7</v>
      </c>
      <c r="N9" s="75" t="s">
        <v>117</v>
      </c>
      <c r="O9" s="71"/>
      <c r="P9" s="93" t="s">
        <v>7</v>
      </c>
      <c r="Q9" s="75" t="s">
        <v>117</v>
      </c>
      <c r="R9" s="71"/>
      <c r="S9" s="93" t="s">
        <v>7</v>
      </c>
      <c r="T9" s="75" t="s">
        <v>117</v>
      </c>
      <c r="U9" s="71"/>
      <c r="V9" s="93" t="s">
        <v>7</v>
      </c>
      <c r="W9" s="75" t="s">
        <v>117</v>
      </c>
      <c r="Y9" s="11" t="s">
        <v>130</v>
      </c>
      <c r="Z9" s="110">
        <f>L45</f>
        <v>2687.38</v>
      </c>
    </row>
    <row r="10" spans="2:26" x14ac:dyDescent="0.2">
      <c r="B10" s="1" t="s">
        <v>8</v>
      </c>
      <c r="C10" s="1">
        <v>4.4999999999999997E-3</v>
      </c>
      <c r="E10" s="89" t="s">
        <v>8</v>
      </c>
      <c r="F10" s="83">
        <v>28.013999999999999</v>
      </c>
      <c r="G10" s="84">
        <f>$C10*100</f>
        <v>0.44999999999999996</v>
      </c>
      <c r="H10" s="85" cm="1">
        <f t="array" ref="H10">G10/F10/SUMPRODUCT(G$10:G$44,1/F$10:F$44)*100</f>
        <v>0.62044137997281412</v>
      </c>
      <c r="I10" s="83">
        <v>28.013999999999999</v>
      </c>
      <c r="J10" s="84">
        <f>$C10*100</f>
        <v>0.44999999999999996</v>
      </c>
      <c r="K10" s="85" cm="1">
        <f t="array" ref="K10">J10/I10/SUMPRODUCT(J$10:J$44,1/I$10:I$44)*100</f>
        <v>0.62044137997281423</v>
      </c>
      <c r="L10" s="83">
        <v>28.013999999999999</v>
      </c>
      <c r="M10" s="84">
        <f>$C10*100</f>
        <v>0.44999999999999996</v>
      </c>
      <c r="N10" s="85" cm="1">
        <f t="array" ref="N10">M10/L10/SUMPRODUCT(M$10:M$44,1/L$10:L$44)*100</f>
        <v>0.6204413799728139</v>
      </c>
      <c r="O10" s="83">
        <v>28.013999999999999</v>
      </c>
      <c r="P10" s="84">
        <f>$C10*100</f>
        <v>0.44999999999999996</v>
      </c>
      <c r="Q10" s="85" cm="1">
        <f t="array" ref="Q10">P10/O10/SUMPRODUCT(P$10:P$44,1/O$10:O$44)*100</f>
        <v>0.62044137997281423</v>
      </c>
      <c r="R10" s="83">
        <v>28.013999999999999</v>
      </c>
      <c r="S10" s="84">
        <f>$C10*100</f>
        <v>0.44999999999999996</v>
      </c>
      <c r="T10" s="85" cm="1">
        <f t="array" ref="T10">S10/R10/SUMPRODUCT(S$10:S$44,1/R$10:R$44)*100</f>
        <v>0.6204413799728139</v>
      </c>
      <c r="U10" s="83">
        <v>28.013999999999999</v>
      </c>
      <c r="V10" s="84">
        <f>$C10*100</f>
        <v>0.44999999999999996</v>
      </c>
      <c r="W10" s="85" cm="1">
        <f t="array" ref="W10">V10/U10/SUMPRODUCT(V$10:V$44,1/U$10:U$44)*100</f>
        <v>0.62044137997281423</v>
      </c>
      <c r="Y10" s="11" t="s">
        <v>50</v>
      </c>
      <c r="Z10" s="110">
        <f>O45</f>
        <v>2689.14</v>
      </c>
    </row>
    <row r="11" spans="2:26" x14ac:dyDescent="0.2">
      <c r="B11" s="1" t="s">
        <v>10</v>
      </c>
      <c r="C11" s="1">
        <v>1.8E-3</v>
      </c>
      <c r="E11" s="89" t="s">
        <v>10</v>
      </c>
      <c r="F11" s="83">
        <v>44.01</v>
      </c>
      <c r="G11" s="84">
        <f t="shared" ref="G11:G20" si="0">$C11*100</f>
        <v>0.18</v>
      </c>
      <c r="H11" s="85" cm="1">
        <f t="array" ref="H11">G11/F11/SUMPRODUCT(G$10:G$44,1/F$10:F$44)*100</f>
        <v>0.15797359526069907</v>
      </c>
      <c r="I11" s="83">
        <v>44.01</v>
      </c>
      <c r="J11" s="84">
        <f t="shared" ref="J11:J20" si="1">$C11*100</f>
        <v>0.18</v>
      </c>
      <c r="K11" s="85" cm="1">
        <f t="array" ref="K11">J11/I11/SUMPRODUCT(J$10:J$44,1/I$10:I$44)*100</f>
        <v>0.1579735952606991</v>
      </c>
      <c r="L11" s="83">
        <v>44.01</v>
      </c>
      <c r="M11" s="84">
        <f t="shared" ref="M11:M20" si="2">$C11*100</f>
        <v>0.18</v>
      </c>
      <c r="N11" s="85" cm="1">
        <f t="array" ref="N11">M11/L11/SUMPRODUCT(M$10:M$44,1/L$10:L$44)*100</f>
        <v>0.15797359526069901</v>
      </c>
      <c r="O11" s="83">
        <v>44.01</v>
      </c>
      <c r="P11" s="84">
        <f t="shared" ref="P11:P20" si="3">$C11*100</f>
        <v>0.18</v>
      </c>
      <c r="Q11" s="85" cm="1">
        <f t="array" ref="Q11">P11/O11/SUMPRODUCT(P$10:P$44,1/O$10:O$44)*100</f>
        <v>0.15797359526069912</v>
      </c>
      <c r="R11" s="83">
        <v>44.01</v>
      </c>
      <c r="S11" s="84">
        <f t="shared" ref="S11:S20" si="4">$C11*100</f>
        <v>0.18</v>
      </c>
      <c r="T11" s="85" cm="1">
        <f t="array" ref="T11">S11/R11/SUMPRODUCT(S$10:S$44,1/R$10:R$44)*100</f>
        <v>0.15797359526069907</v>
      </c>
      <c r="U11" s="83">
        <v>44.01</v>
      </c>
      <c r="V11" s="84">
        <f t="shared" ref="V11:V20" si="5">$C11*100</f>
        <v>0.18</v>
      </c>
      <c r="W11" s="85" cm="1">
        <f t="array" ref="W11">V11/U11/SUMPRODUCT(V$10:V$44,1/U$10:U$44)*100</f>
        <v>0.1579735952606991</v>
      </c>
      <c r="Y11" s="11" t="s">
        <v>51</v>
      </c>
      <c r="Z11" s="110">
        <f>R45</f>
        <v>2654.81</v>
      </c>
    </row>
    <row r="12" spans="2:26" x14ac:dyDescent="0.2">
      <c r="B12" s="1" t="s">
        <v>12</v>
      </c>
      <c r="C12" s="1">
        <v>0</v>
      </c>
      <c r="E12" s="89" t="s">
        <v>12</v>
      </c>
      <c r="F12" s="83">
        <v>34.082000000000001</v>
      </c>
      <c r="G12" s="84">
        <f t="shared" si="0"/>
        <v>0</v>
      </c>
      <c r="H12" s="85" cm="1">
        <f t="array" ref="H12">G12/F12/SUMPRODUCT(G$10:G$44,1/F$10:F$44)*100</f>
        <v>0</v>
      </c>
      <c r="I12" s="83">
        <v>34.082000000000001</v>
      </c>
      <c r="J12" s="84">
        <f t="shared" si="1"/>
        <v>0</v>
      </c>
      <c r="K12" s="85" cm="1">
        <f t="array" ref="K12">J12/I12/SUMPRODUCT(J$10:J$44,1/I$10:I$44)*100</f>
        <v>0</v>
      </c>
      <c r="L12" s="83">
        <v>34.082000000000001</v>
      </c>
      <c r="M12" s="84">
        <f t="shared" si="2"/>
        <v>0</v>
      </c>
      <c r="N12" s="85" cm="1">
        <f t="array" ref="N12">M12/L12/SUMPRODUCT(M$10:M$44,1/L$10:L$44)*100</f>
        <v>0</v>
      </c>
      <c r="O12" s="83">
        <v>34.082000000000001</v>
      </c>
      <c r="P12" s="84">
        <f t="shared" si="3"/>
        <v>0</v>
      </c>
      <c r="Q12" s="85" cm="1">
        <f t="array" ref="Q12">P12/O12/SUMPRODUCT(P$10:P$44,1/O$10:O$44)*100</f>
        <v>0</v>
      </c>
      <c r="R12" s="83">
        <v>34.082000000000001</v>
      </c>
      <c r="S12" s="84">
        <f t="shared" si="4"/>
        <v>0</v>
      </c>
      <c r="T12" s="85" cm="1">
        <f t="array" ref="T12">S12/R12/SUMPRODUCT(S$10:S$44,1/R$10:R$44)*100</f>
        <v>0</v>
      </c>
      <c r="U12" s="83">
        <v>34.082000000000001</v>
      </c>
      <c r="V12" s="84">
        <f t="shared" si="5"/>
        <v>0</v>
      </c>
      <c r="W12" s="85" cm="1">
        <f t="array" ref="W12">V12/U12/SUMPRODUCT(V$10:V$44,1/U$10:U$44)*100</f>
        <v>0</v>
      </c>
      <c r="Y12" s="7" t="s">
        <v>52</v>
      </c>
      <c r="Z12" s="111">
        <f>U45</f>
        <v>2650.48</v>
      </c>
    </row>
    <row r="13" spans="2:26" x14ac:dyDescent="0.2">
      <c r="B13" s="1" t="s">
        <v>14</v>
      </c>
      <c r="C13" s="1">
        <v>0.1784</v>
      </c>
      <c r="E13" s="89" t="s">
        <v>14</v>
      </c>
      <c r="F13" s="83">
        <v>16.042999999999999</v>
      </c>
      <c r="G13" s="84">
        <f t="shared" si="0"/>
        <v>17.84</v>
      </c>
      <c r="H13" s="85" cm="1">
        <f t="array" ref="H13">G13/F13/SUMPRODUCT(G$10:G$44,1/F$10:F$44)*100</f>
        <v>42.950935965576136</v>
      </c>
      <c r="I13" s="83">
        <v>16.042999999999999</v>
      </c>
      <c r="J13" s="84">
        <f t="shared" si="1"/>
        <v>17.84</v>
      </c>
      <c r="K13" s="85" cm="1">
        <f t="array" ref="K13">J13/I13/SUMPRODUCT(J$10:J$44,1/I$10:I$44)*100</f>
        <v>42.95093596557615</v>
      </c>
      <c r="L13" s="83">
        <v>16.042999999999999</v>
      </c>
      <c r="M13" s="84">
        <f t="shared" si="2"/>
        <v>17.84</v>
      </c>
      <c r="N13" s="85" cm="1">
        <f t="array" ref="N13">M13/L13/SUMPRODUCT(M$10:M$44,1/L$10:L$44)*100</f>
        <v>42.950935965576129</v>
      </c>
      <c r="O13" s="83">
        <v>16.042999999999999</v>
      </c>
      <c r="P13" s="84">
        <f t="shared" si="3"/>
        <v>17.84</v>
      </c>
      <c r="Q13" s="85" cm="1">
        <f t="array" ref="Q13">P13/O13/SUMPRODUCT(P$10:P$44,1/O$10:O$44)*100</f>
        <v>42.95093596557615</v>
      </c>
      <c r="R13" s="83">
        <v>16.042999999999999</v>
      </c>
      <c r="S13" s="84">
        <f t="shared" si="4"/>
        <v>17.84</v>
      </c>
      <c r="T13" s="85" cm="1">
        <f t="array" ref="T13">S13/R13/SUMPRODUCT(S$10:S$44,1/R$10:R$44)*100</f>
        <v>42.950935965576129</v>
      </c>
      <c r="U13" s="83">
        <v>16.042999999999999</v>
      </c>
      <c r="V13" s="84">
        <f t="shared" si="5"/>
        <v>17.84</v>
      </c>
      <c r="W13" s="85" cm="1">
        <f t="array" ref="W13">V13/U13/SUMPRODUCT(V$10:V$44,1/U$10:U$44)*100</f>
        <v>42.95093596557615</v>
      </c>
    </row>
    <row r="14" spans="2:26" x14ac:dyDescent="0.2">
      <c r="B14" s="1" t="s">
        <v>16</v>
      </c>
      <c r="C14" s="1">
        <v>7.8200000000000006E-2</v>
      </c>
      <c r="E14" s="89" t="s">
        <v>16</v>
      </c>
      <c r="F14" s="83">
        <v>16.042999999999999</v>
      </c>
      <c r="G14" s="84">
        <f t="shared" si="0"/>
        <v>7.82</v>
      </c>
      <c r="H14" s="85" cm="1">
        <f t="array" ref="H14">G14/F14/SUMPRODUCT(G$10:G$44,1/F$10:F$44)*100</f>
        <v>18.827147940067572</v>
      </c>
      <c r="I14" s="83">
        <v>16.042999999999999</v>
      </c>
      <c r="J14" s="84">
        <f t="shared" si="1"/>
        <v>7.82</v>
      </c>
      <c r="K14" s="85" cm="1">
        <f t="array" ref="K14">J14/I14/SUMPRODUCT(J$10:J$44,1/I$10:I$44)*100</f>
        <v>18.827147940067572</v>
      </c>
      <c r="L14" s="83">
        <v>16.042999999999999</v>
      </c>
      <c r="M14" s="84">
        <f t="shared" si="2"/>
        <v>7.82</v>
      </c>
      <c r="N14" s="85" cm="1">
        <f t="array" ref="N14">M14/L14/SUMPRODUCT(M$10:M$44,1/L$10:L$44)*100</f>
        <v>18.827147940067562</v>
      </c>
      <c r="O14" s="83">
        <v>16.042999999999999</v>
      </c>
      <c r="P14" s="84">
        <f t="shared" si="3"/>
        <v>7.82</v>
      </c>
      <c r="Q14" s="85" cm="1">
        <f t="array" ref="Q14">P14/O14/SUMPRODUCT(P$10:P$44,1/O$10:O$44)*100</f>
        <v>18.827147940067576</v>
      </c>
      <c r="R14" s="83">
        <v>16.042999999999999</v>
      </c>
      <c r="S14" s="84">
        <f t="shared" si="4"/>
        <v>7.82</v>
      </c>
      <c r="T14" s="85" cm="1">
        <f t="array" ref="T14">S14/R14/SUMPRODUCT(S$10:S$44,1/R$10:R$44)*100</f>
        <v>18.827147940067565</v>
      </c>
      <c r="U14" s="83">
        <v>16.042999999999999</v>
      </c>
      <c r="V14" s="84">
        <f t="shared" si="5"/>
        <v>7.82</v>
      </c>
      <c r="W14" s="85" cm="1">
        <f t="array" ref="W14">V14/U14/SUMPRODUCT(V$10:V$44,1/U$10:U$44)*100</f>
        <v>18.827147940067572</v>
      </c>
    </row>
    <row r="15" spans="2:26" x14ac:dyDescent="0.2">
      <c r="B15" s="1" t="s">
        <v>18</v>
      </c>
      <c r="C15" s="1">
        <v>7.17E-2</v>
      </c>
      <c r="E15" s="89" t="s">
        <v>18</v>
      </c>
      <c r="F15" s="83">
        <v>16.042999999999999</v>
      </c>
      <c r="G15" s="84">
        <f t="shared" si="0"/>
        <v>7.17</v>
      </c>
      <c r="H15" s="85" cm="1">
        <f t="array" ref="H15">G15/F15/SUMPRODUCT(G$10:G$44,1/F$10:F$44)*100</f>
        <v>17.262231551187273</v>
      </c>
      <c r="I15" s="83">
        <v>16.042999999999999</v>
      </c>
      <c r="J15" s="84">
        <f t="shared" si="1"/>
        <v>7.17</v>
      </c>
      <c r="K15" s="85" cm="1">
        <f t="array" ref="K15">J15/I15/SUMPRODUCT(J$10:J$44,1/I$10:I$44)*100</f>
        <v>17.262231551187277</v>
      </c>
      <c r="L15" s="83">
        <v>16.042999999999999</v>
      </c>
      <c r="M15" s="84">
        <f t="shared" si="2"/>
        <v>7.17</v>
      </c>
      <c r="N15" s="85" cm="1">
        <f t="array" ref="N15">M15/L15/SUMPRODUCT(M$10:M$44,1/L$10:L$44)*100</f>
        <v>17.26223155118727</v>
      </c>
      <c r="O15" s="83">
        <v>16.042999999999999</v>
      </c>
      <c r="P15" s="84">
        <f t="shared" si="3"/>
        <v>7.17</v>
      </c>
      <c r="Q15" s="85" cm="1">
        <f t="array" ref="Q15">P15/O15/SUMPRODUCT(P$10:P$44,1/O$10:O$44)*100</f>
        <v>17.262231551187281</v>
      </c>
      <c r="R15" s="83">
        <v>16.042999999999999</v>
      </c>
      <c r="S15" s="84">
        <f t="shared" si="4"/>
        <v>7.17</v>
      </c>
      <c r="T15" s="85" cm="1">
        <f t="array" ref="T15">S15/R15/SUMPRODUCT(S$10:S$44,1/R$10:R$44)*100</f>
        <v>17.26223155118727</v>
      </c>
      <c r="U15" s="83">
        <v>16.042999999999999</v>
      </c>
      <c r="V15" s="84">
        <f t="shared" si="5"/>
        <v>7.17</v>
      </c>
      <c r="W15" s="85" cm="1">
        <f t="array" ref="W15">V15/U15/SUMPRODUCT(V$10:V$44,1/U$10:U$44)*100</f>
        <v>17.262231551187277</v>
      </c>
    </row>
    <row r="16" spans="2:26" x14ac:dyDescent="0.2">
      <c r="B16" s="1" t="s">
        <v>20</v>
      </c>
      <c r="C16" s="1">
        <v>1.7299999999999999E-2</v>
      </c>
      <c r="E16" s="89" t="s">
        <v>20</v>
      </c>
      <c r="F16" s="83">
        <v>58.122999999999998</v>
      </c>
      <c r="G16" s="84">
        <f t="shared" si="0"/>
        <v>1.73</v>
      </c>
      <c r="H16" s="85" cm="1">
        <f t="array" ref="H16">G16/F16/SUMPRODUCT(G$10:G$44,1/F$10:F$44)*100</f>
        <v>1.1496388897914216</v>
      </c>
      <c r="I16" s="83">
        <v>58.122999999999998</v>
      </c>
      <c r="J16" s="84">
        <f t="shared" si="1"/>
        <v>1.73</v>
      </c>
      <c r="K16" s="85" cm="1">
        <f t="array" ref="K16">J16/I16/SUMPRODUCT(J$10:J$44,1/I$10:I$44)*100</f>
        <v>1.1496388897914216</v>
      </c>
      <c r="L16" s="83">
        <v>58.122999999999998</v>
      </c>
      <c r="M16" s="84">
        <f t="shared" si="2"/>
        <v>1.73</v>
      </c>
      <c r="N16" s="85" cm="1">
        <f t="array" ref="N16">M16/L16/SUMPRODUCT(M$10:M$44,1/L$10:L$44)*100</f>
        <v>1.1496388897914211</v>
      </c>
      <c r="O16" s="83">
        <v>58.122999999999998</v>
      </c>
      <c r="P16" s="84">
        <f t="shared" si="3"/>
        <v>1.73</v>
      </c>
      <c r="Q16" s="85" cm="1">
        <f t="array" ref="Q16">P16/O16/SUMPRODUCT(P$10:P$44,1/O$10:O$44)*100</f>
        <v>1.1496388897914218</v>
      </c>
      <c r="R16" s="83">
        <v>58.122999999999998</v>
      </c>
      <c r="S16" s="84">
        <f t="shared" si="4"/>
        <v>1.73</v>
      </c>
      <c r="T16" s="85" cm="1">
        <f t="array" ref="T16">S16/R16/SUMPRODUCT(S$10:S$44,1/R$10:R$44)*100</f>
        <v>1.1496388897914214</v>
      </c>
      <c r="U16" s="83">
        <v>58.122999999999998</v>
      </c>
      <c r="V16" s="84">
        <f t="shared" si="5"/>
        <v>1.73</v>
      </c>
      <c r="W16" s="85" cm="1">
        <f t="array" ref="W16">V16/U16/SUMPRODUCT(V$10:V$44,1/U$10:U$44)*100</f>
        <v>1.1496388897914216</v>
      </c>
    </row>
    <row r="17" spans="2:23" x14ac:dyDescent="0.2">
      <c r="B17" s="1" t="s">
        <v>22</v>
      </c>
      <c r="C17" s="1">
        <v>4.3499999999999997E-2</v>
      </c>
      <c r="E17" s="89" t="s">
        <v>22</v>
      </c>
      <c r="F17" s="83">
        <v>58.122999999999998</v>
      </c>
      <c r="G17" s="84">
        <f t="shared" si="0"/>
        <v>4.3499999999999996</v>
      </c>
      <c r="H17" s="85" cm="1">
        <f t="array" ref="H17">G17/F17/SUMPRODUCT(G$10:G$44,1/F$10:F$44)*100</f>
        <v>2.8907105032327651</v>
      </c>
      <c r="I17" s="83">
        <v>58.122999999999998</v>
      </c>
      <c r="J17" s="84">
        <f t="shared" si="1"/>
        <v>4.3499999999999996</v>
      </c>
      <c r="K17" s="85" cm="1">
        <f t="array" ref="K17">J17/I17/SUMPRODUCT(J$10:J$44,1/I$10:I$44)*100</f>
        <v>2.8907105032327651</v>
      </c>
      <c r="L17" s="83">
        <v>58.122999999999998</v>
      </c>
      <c r="M17" s="84">
        <f t="shared" si="2"/>
        <v>4.3499999999999996</v>
      </c>
      <c r="N17" s="85" cm="1">
        <f t="array" ref="N17">M17/L17/SUMPRODUCT(M$10:M$44,1/L$10:L$44)*100</f>
        <v>2.8907105032327638</v>
      </c>
      <c r="O17" s="83">
        <v>58.122999999999998</v>
      </c>
      <c r="P17" s="84">
        <f t="shared" si="3"/>
        <v>4.3499999999999996</v>
      </c>
      <c r="Q17" s="85" cm="1">
        <f t="array" ref="Q17">P17/O17/SUMPRODUCT(P$10:P$44,1/O$10:O$44)*100</f>
        <v>2.890710503232766</v>
      </c>
      <c r="R17" s="83">
        <v>58.122999999999998</v>
      </c>
      <c r="S17" s="84">
        <f t="shared" si="4"/>
        <v>4.3499999999999996</v>
      </c>
      <c r="T17" s="85" cm="1">
        <f t="array" ref="T17">S17/R17/SUMPRODUCT(S$10:S$44,1/R$10:R$44)*100</f>
        <v>2.8907105032327647</v>
      </c>
      <c r="U17" s="83">
        <v>58.122999999999998</v>
      </c>
      <c r="V17" s="84">
        <f t="shared" si="5"/>
        <v>4.3499999999999996</v>
      </c>
      <c r="W17" s="85" cm="1">
        <f t="array" ref="W17">V17/U17/SUMPRODUCT(V$10:V$44,1/U$10:U$44)*100</f>
        <v>2.8907105032327651</v>
      </c>
    </row>
    <row r="18" spans="2:23" x14ac:dyDescent="0.2">
      <c r="B18" s="1" t="s">
        <v>24</v>
      </c>
      <c r="C18" s="1">
        <v>2.12E-2</v>
      </c>
      <c r="E18" s="89" t="s">
        <v>24</v>
      </c>
      <c r="F18" s="83">
        <v>72.150000000000006</v>
      </c>
      <c r="G18" s="84">
        <f t="shared" si="0"/>
        <v>2.12</v>
      </c>
      <c r="H18" s="85" cm="1">
        <f t="array" ref="H18">G18/F18/SUMPRODUCT(G$10:G$44,1/F$10:F$44)*100</f>
        <v>1.1349138373864276</v>
      </c>
      <c r="I18" s="83">
        <v>72.150000000000006</v>
      </c>
      <c r="J18" s="84">
        <f t="shared" si="1"/>
        <v>2.12</v>
      </c>
      <c r="K18" s="85" cm="1">
        <f t="array" ref="K18">J18/I18/SUMPRODUCT(J$10:J$44,1/I$10:I$44)*100</f>
        <v>1.1349138373864278</v>
      </c>
      <c r="L18" s="83">
        <v>72.150000000000006</v>
      </c>
      <c r="M18" s="84">
        <f t="shared" si="2"/>
        <v>2.12</v>
      </c>
      <c r="N18" s="85" cm="1">
        <f t="array" ref="N18">M18/L18/SUMPRODUCT(M$10:M$44,1/L$10:L$44)*100</f>
        <v>1.1349138373864271</v>
      </c>
      <c r="O18" s="83">
        <v>72.150000000000006</v>
      </c>
      <c r="P18" s="84">
        <f t="shared" si="3"/>
        <v>2.12</v>
      </c>
      <c r="Q18" s="85" cm="1">
        <f t="array" ref="Q18">P18/O18/SUMPRODUCT(P$10:P$44,1/O$10:O$44)*100</f>
        <v>1.134913837386428</v>
      </c>
      <c r="R18" s="83">
        <v>72.150000000000006</v>
      </c>
      <c r="S18" s="84">
        <f t="shared" si="4"/>
        <v>2.12</v>
      </c>
      <c r="T18" s="85" cm="1">
        <f t="array" ref="T18">S18/R18/SUMPRODUCT(S$10:S$44,1/R$10:R$44)*100</f>
        <v>1.1349138373864274</v>
      </c>
      <c r="U18" s="83">
        <v>72.150000000000006</v>
      </c>
      <c r="V18" s="84">
        <f t="shared" si="5"/>
        <v>2.12</v>
      </c>
      <c r="W18" s="85" cm="1">
        <f t="array" ref="W18">V18/U18/SUMPRODUCT(V$10:V$44,1/U$10:U$44)*100</f>
        <v>1.1349138373864278</v>
      </c>
    </row>
    <row r="19" spans="2:23" x14ac:dyDescent="0.2">
      <c r="B19" s="1" t="s">
        <v>26</v>
      </c>
      <c r="C19" s="1">
        <v>2.7699999999999999E-2</v>
      </c>
      <c r="E19" s="89" t="s">
        <v>26</v>
      </c>
      <c r="F19" s="83">
        <v>72.150000000000006</v>
      </c>
      <c r="G19" s="84">
        <f t="shared" si="0"/>
        <v>2.77</v>
      </c>
      <c r="H19" s="85" cm="1">
        <f t="array" ref="H19">G19/F19/SUMPRODUCT(G$10:G$44,1/F$10:F$44)*100</f>
        <v>1.4828827026228322</v>
      </c>
      <c r="I19" s="83">
        <v>72.150000000000006</v>
      </c>
      <c r="J19" s="84">
        <f t="shared" si="1"/>
        <v>2.77</v>
      </c>
      <c r="K19" s="85" cm="1">
        <f t="array" ref="K19">J19/I19/SUMPRODUCT(J$10:J$44,1/I$10:I$44)*100</f>
        <v>1.4828827026228324</v>
      </c>
      <c r="L19" s="83">
        <v>72.150000000000006</v>
      </c>
      <c r="M19" s="84">
        <f t="shared" si="2"/>
        <v>2.77</v>
      </c>
      <c r="N19" s="85" cm="1">
        <f t="array" ref="N19">M19/L19/SUMPRODUCT(M$10:M$44,1/L$10:L$44)*100</f>
        <v>1.4828827026228315</v>
      </c>
      <c r="O19" s="83">
        <v>72.150000000000006</v>
      </c>
      <c r="P19" s="84">
        <f t="shared" si="3"/>
        <v>2.77</v>
      </c>
      <c r="Q19" s="85" cm="1">
        <f t="array" ref="Q19">P19/O19/SUMPRODUCT(P$10:P$44,1/O$10:O$44)*100</f>
        <v>1.4828827026228326</v>
      </c>
      <c r="R19" s="83">
        <v>72.150000000000006</v>
      </c>
      <c r="S19" s="84">
        <f t="shared" si="4"/>
        <v>2.77</v>
      </c>
      <c r="T19" s="85" cm="1">
        <f t="array" ref="T19">S19/R19/SUMPRODUCT(S$10:S$44,1/R$10:R$44)*100</f>
        <v>1.4828827026228319</v>
      </c>
      <c r="U19" s="83">
        <v>72.150000000000006</v>
      </c>
      <c r="V19" s="84">
        <f t="shared" si="5"/>
        <v>2.77</v>
      </c>
      <c r="W19" s="85" cm="1">
        <f t="array" ref="W19">V19/U19/SUMPRODUCT(V$10:V$44,1/U$10:U$44)*100</f>
        <v>1.4828827026228324</v>
      </c>
    </row>
    <row r="20" spans="2:23" x14ac:dyDescent="0.2">
      <c r="B20" s="1" t="s">
        <v>28</v>
      </c>
      <c r="C20" s="1">
        <v>3.8600000000000002E-2</v>
      </c>
      <c r="E20" s="89" t="s">
        <v>28</v>
      </c>
      <c r="F20" s="83">
        <v>84.021000000000001</v>
      </c>
      <c r="G20" s="84">
        <f t="shared" si="0"/>
        <v>3.8600000000000003</v>
      </c>
      <c r="H20" s="85" cm="1">
        <f t="array" ref="H20">G20/F20/SUMPRODUCT(G$10:G$44,1/F$10:F$44)*100</f>
        <v>1.7744461503575293</v>
      </c>
      <c r="I20" s="83">
        <v>84.021000000000001</v>
      </c>
      <c r="J20" s="84">
        <f t="shared" si="1"/>
        <v>3.8600000000000003</v>
      </c>
      <c r="K20" s="85" cm="1">
        <f t="array" ref="K20">J20/I20/SUMPRODUCT(J$10:J$44,1/I$10:I$44)*100</f>
        <v>1.7744461503575295</v>
      </c>
      <c r="L20" s="83">
        <v>84.021000000000001</v>
      </c>
      <c r="M20" s="84">
        <f t="shared" si="2"/>
        <v>3.8600000000000003</v>
      </c>
      <c r="N20" s="85" cm="1">
        <f t="array" ref="N20">M20/L20/SUMPRODUCT(M$10:M$44,1/L$10:L$44)*100</f>
        <v>1.7744461503575286</v>
      </c>
      <c r="O20" s="83">
        <v>84.021000000000001</v>
      </c>
      <c r="P20" s="84">
        <f t="shared" si="3"/>
        <v>3.8600000000000003</v>
      </c>
      <c r="Q20" s="85" cm="1">
        <f t="array" ref="Q20">P20/O20/SUMPRODUCT(P$10:P$44,1/O$10:O$44)*100</f>
        <v>1.7744461503575299</v>
      </c>
      <c r="R20" s="83">
        <v>84.021000000000001</v>
      </c>
      <c r="S20" s="84">
        <f t="shared" si="4"/>
        <v>3.8600000000000003</v>
      </c>
      <c r="T20" s="85" cm="1">
        <f t="array" ref="T20">S20/R20/SUMPRODUCT(S$10:S$44,1/R$10:R$44)*100</f>
        <v>1.7744461503575288</v>
      </c>
      <c r="U20" s="83">
        <v>84.021000000000001</v>
      </c>
      <c r="V20" s="84">
        <f t="shared" si="5"/>
        <v>3.8600000000000003</v>
      </c>
      <c r="W20" s="85" cm="1">
        <f t="array" ref="W20">V20/U20/SUMPRODUCT(V$10:V$44,1/U$10:U$44)*100</f>
        <v>1.7744461503575295</v>
      </c>
    </row>
    <row r="21" spans="2:23" x14ac:dyDescent="0.2">
      <c r="B21" s="1" t="s">
        <v>30</v>
      </c>
      <c r="C21" s="1">
        <v>0.51709999999999989</v>
      </c>
      <c r="E21" s="88" t="s">
        <v>9</v>
      </c>
      <c r="F21" s="86">
        <f>'Calculate-MWs'!G9</f>
        <v>100.20403999999998</v>
      </c>
      <c r="G21" s="1">
        <f>'Calculate-MWs'!$C18*'Total-Composition'!$C$21</f>
        <v>4.8737325840065555</v>
      </c>
      <c r="H21" s="13" cm="1">
        <f t="array" ref="H21">G21/F21/SUMPRODUCT(G$10:G$44,1/F$10:F$44)*100</f>
        <v>1.8786238442700731</v>
      </c>
      <c r="I21" s="86">
        <f>'Calculate-MWs'!Q9</f>
        <v>99.211626670305392</v>
      </c>
      <c r="J21" s="1">
        <f>'Calculate-MWs'!$C18*'Total-Composition'!$C$21</f>
        <v>4.8737325840065555</v>
      </c>
      <c r="K21" s="13" cm="1">
        <f t="array" ref="K21">J21/I21/SUMPRODUCT(J$10:J$44,1/I$10:I$44)*100</f>
        <v>1.8974157077553004</v>
      </c>
      <c r="L21" s="86">
        <f>'Calculate-MWs'!R9</f>
        <v>98.706264293216577</v>
      </c>
      <c r="M21" s="1">
        <f>'Calculate-MWs'!$C18*'Total-Composition'!$C$21</f>
        <v>4.8737325840065555</v>
      </c>
      <c r="N21" s="13" cm="1">
        <f t="array" ref="N21">M21/L21/SUMPRODUCT(M$10:M$44,1/L$10:L$44)*100</f>
        <v>1.9071302129010763</v>
      </c>
      <c r="O21" s="86">
        <f>'Calculate-MWs'!AH9</f>
        <v>94.188159999999982</v>
      </c>
      <c r="P21" s="1">
        <f>'Calculate-MWs'!$C18*'Total-Composition'!$C$21</f>
        <v>4.8737325840065555</v>
      </c>
      <c r="Q21" s="13" cm="1">
        <f t="array" ref="Q21">P21/O21/SUMPRODUCT(P$10:P$44,1/O$10:O$44)*100</f>
        <v>1.9986131891332435</v>
      </c>
      <c r="R21" s="86">
        <f>'Calculate-MWs'!AK9</f>
        <v>96</v>
      </c>
      <c r="S21" s="1">
        <f>'Calculate-MWs'!$C18*'Total-Composition'!$C$21</f>
        <v>4.8737325840065555</v>
      </c>
      <c r="T21" s="13" cm="1">
        <f t="array" ref="T21">S21/R21/SUMPRODUCT(S$10:S$44,1/R$10:R$44)*100</f>
        <v>1.9608926962103344</v>
      </c>
      <c r="U21" s="86">
        <f>'Calculate-MWs'!AN9</f>
        <v>96</v>
      </c>
      <c r="V21" s="1">
        <f>'Calculate-MWs'!$C18*'Total-Composition'!$C$21</f>
        <v>4.8737325840065555</v>
      </c>
      <c r="W21" s="13" cm="1">
        <f t="array" ref="W21">V21/U21/SUMPRODUCT(V$10:V$44,1/U$10:U$44)*100</f>
        <v>1.960892696210335</v>
      </c>
    </row>
    <row r="22" spans="2:23" x14ac:dyDescent="0.2">
      <c r="E22" s="88" t="s">
        <v>11</v>
      </c>
      <c r="F22" s="86">
        <f>'Calculate-MWs'!G10</f>
        <v>114.23091999999998</v>
      </c>
      <c r="G22" s="1">
        <f>'Calculate-MWs'!$C19*'Total-Composition'!$C$21</f>
        <v>6.5326179604261796</v>
      </c>
      <c r="H22" s="13" cm="1">
        <f t="array" ref="H22">G22/F22/SUMPRODUCT(G$10:G$44,1/F$10:F$44)*100</f>
        <v>2.2088536984301839</v>
      </c>
      <c r="I22" s="86">
        <f>'Calculate-MWs'!Q10</f>
        <v>112.7765823414734</v>
      </c>
      <c r="J22" s="1">
        <f>'Calculate-MWs'!$C19*'Total-Composition'!$C$21</f>
        <v>6.5326179604261796</v>
      </c>
      <c r="K22" s="13" cm="1">
        <f t="array" ref="K22">J22/I22/SUMPRODUCT(J$10:J$44,1/I$10:I$44)*100</f>
        <v>2.2373385048421741</v>
      </c>
      <c r="L22" s="86">
        <f>'Calculate-MWs'!R10</f>
        <v>111.83504032455491</v>
      </c>
      <c r="M22" s="1">
        <f>'Calculate-MWs'!$C19*'Total-Composition'!$C$21</f>
        <v>6.5326179604261796</v>
      </c>
      <c r="N22" s="13" cm="1">
        <f t="array" ref="N22">M22/L22/SUMPRODUCT(M$10:M$44,1/L$10:L$44)*100</f>
        <v>2.2561747139789974</v>
      </c>
      <c r="O22" s="86">
        <f>'Calculate-MWs'!AH10</f>
        <v>108.21503999999999</v>
      </c>
      <c r="P22" s="1">
        <f>'Calculate-MWs'!$C19*'Total-Composition'!$C$21</f>
        <v>6.5326179604261796</v>
      </c>
      <c r="Q22" s="13" cm="1">
        <f t="array" ref="Q22">P22/O22/SUMPRODUCT(P$10:P$44,1/O$10:O$44)*100</f>
        <v>2.331648078835276</v>
      </c>
      <c r="R22" s="86">
        <f>'Calculate-MWs'!AK10</f>
        <v>107</v>
      </c>
      <c r="S22" s="1">
        <f>'Calculate-MWs'!$C19*'Total-Composition'!$C$21</f>
        <v>6.5326179604261796</v>
      </c>
      <c r="T22" s="13" cm="1">
        <f t="array" ref="T22">S22/R22/SUMPRODUCT(S$10:S$44,1/R$10:R$44)*100</f>
        <v>2.3581251412811435</v>
      </c>
      <c r="U22" s="86">
        <f>'Calculate-MWs'!AN10</f>
        <v>107</v>
      </c>
      <c r="V22" s="1">
        <f>'Calculate-MWs'!$C19*'Total-Composition'!$C$21</f>
        <v>6.5326179604261796</v>
      </c>
      <c r="W22" s="13" cm="1">
        <f t="array" ref="W22">V22/U22/SUMPRODUCT(V$10:V$44,1/U$10:U$44)*100</f>
        <v>2.3581251412811444</v>
      </c>
    </row>
    <row r="23" spans="2:23" x14ac:dyDescent="0.2">
      <c r="E23" s="88" t="s">
        <v>13</v>
      </c>
      <c r="F23" s="86">
        <f>'Calculate-MWs'!G11</f>
        <v>128.2578</v>
      </c>
      <c r="G23" s="1">
        <f>'Calculate-MWs'!$C20*'Total-Composition'!$C$21</f>
        <v>4.7284287554150559</v>
      </c>
      <c r="H23" s="13" cm="1">
        <f t="array" ref="H23">G23/F23/SUMPRODUCT(G$10:G$44,1/F$10:F$44)*100</f>
        <v>1.4239555388397338</v>
      </c>
      <c r="I23" s="86">
        <f>'Calculate-MWs'!Q11</f>
        <v>126.38797265841698</v>
      </c>
      <c r="J23" s="1">
        <f>'Calculate-MWs'!$C20*'Total-Composition'!$C$21</f>
        <v>4.7284287554150559</v>
      </c>
      <c r="K23" s="13" cm="1">
        <f t="array" ref="K23">J23/I23/SUMPRODUCT(J$10:J$44,1/I$10:I$44)*100</f>
        <v>1.4450220291371698</v>
      </c>
      <c r="L23" s="86">
        <f>'Calculate-MWs'!R11</f>
        <v>124.38332249672193</v>
      </c>
      <c r="M23" s="1">
        <f>'Calculate-MWs'!$C20*'Total-Composition'!$C$21</f>
        <v>4.7284287554150559</v>
      </c>
      <c r="N23" s="13" cm="1">
        <f t="array" ref="N23">M23/L23/SUMPRODUCT(M$10:M$44,1/L$10:L$44)*100</f>
        <v>1.4683110327287807</v>
      </c>
      <c r="O23" s="86">
        <f>'Calculate-MWs'!AH11</f>
        <v>122.24191999999999</v>
      </c>
      <c r="P23" s="1">
        <f>'Calculate-MWs'!$C20*'Total-Composition'!$C$21</f>
        <v>4.7284287554150559</v>
      </c>
      <c r="Q23" s="13" cm="1">
        <f t="array" ref="Q23">P23/O23/SUMPRODUCT(P$10:P$44,1/O$10:O$44)*100</f>
        <v>1.4940325275437336</v>
      </c>
      <c r="R23" s="86">
        <f>'Calculate-MWs'!AK11</f>
        <v>121</v>
      </c>
      <c r="S23" s="1">
        <f>'Calculate-MWs'!$C20*'Total-Composition'!$C$21</f>
        <v>4.7284287554150559</v>
      </c>
      <c r="T23" s="13" cm="1">
        <f t="array" ref="T23">S23/R23/SUMPRODUCT(S$10:S$44,1/R$10:R$44)*100</f>
        <v>1.5093669810694115</v>
      </c>
      <c r="U23" s="86">
        <f>'Calculate-MWs'!AN11</f>
        <v>121</v>
      </c>
      <c r="V23" s="1">
        <f>'Calculate-MWs'!$C20*'Total-Composition'!$C$21</f>
        <v>4.7284287554150559</v>
      </c>
      <c r="W23" s="13" cm="1">
        <f t="array" ref="W23">V23/U23/SUMPRODUCT(V$10:V$44,1/U$10:U$44)*100</f>
        <v>1.5093669810694119</v>
      </c>
    </row>
    <row r="24" spans="2:23" x14ac:dyDescent="0.2">
      <c r="E24" s="88" t="s">
        <v>15</v>
      </c>
      <c r="F24" s="86">
        <f>'Calculate-MWs'!G12</f>
        <v>142.28468000000001</v>
      </c>
      <c r="G24" s="1">
        <f>'Calculate-MWs'!$C21*'Total-Composition'!$C$21</f>
        <v>3.9413663505444312</v>
      </c>
      <c r="H24" s="13" cm="1">
        <f t="array" ref="H24">G24/F24/SUMPRODUCT(G$10:G$44,1/F$10:F$44)*100</f>
        <v>1.069921780681296</v>
      </c>
      <c r="I24" s="86">
        <f>'Calculate-MWs'!Q12</f>
        <v>140.04588122247708</v>
      </c>
      <c r="J24" s="1">
        <f>'Calculate-MWs'!$C21*'Total-Composition'!$C$21</f>
        <v>3.9413663505444312</v>
      </c>
      <c r="K24" s="13" cm="1">
        <f t="array" ref="K24">J24/I24/SUMPRODUCT(J$10:J$44,1/I$10:I$44)*100</f>
        <v>1.0870257437091639</v>
      </c>
      <c r="L24" s="86">
        <f>'Calculate-MWs'!R12</f>
        <v>136.65484090515173</v>
      </c>
      <c r="M24" s="1">
        <f>'Calculate-MWs'!$C21*'Total-Composition'!$C$21</f>
        <v>3.9413663505444312</v>
      </c>
      <c r="N24" s="13" cm="1">
        <f t="array" ref="N24">M24/L24/SUMPRODUCT(M$10:M$44,1/L$10:L$44)*100</f>
        <v>1.1139998933146413</v>
      </c>
      <c r="O24" s="86">
        <f>'Calculate-MWs'!AH12</f>
        <v>136.2688</v>
      </c>
      <c r="P24" s="1">
        <f>'Calculate-MWs'!$C21*'Total-Composition'!$C$21</f>
        <v>3.9413663505444312</v>
      </c>
      <c r="Q24" s="13" cm="1">
        <f t="array" ref="Q24">P24/O24/SUMPRODUCT(P$10:P$44,1/O$10:O$44)*100</f>
        <v>1.1171557846643432</v>
      </c>
      <c r="R24" s="86">
        <f>'Calculate-MWs'!AK12</f>
        <v>134</v>
      </c>
      <c r="S24" s="1">
        <f>'Calculate-MWs'!$C21*'Total-Composition'!$C$21</f>
        <v>3.9413663505444312</v>
      </c>
      <c r="T24" s="13" cm="1">
        <f t="array" ref="T24">S24/R24/SUMPRODUCT(S$10:S$44,1/R$10:R$44)*100</f>
        <v>1.136070732755734</v>
      </c>
      <c r="U24" s="86">
        <f>'Calculate-MWs'!AN12</f>
        <v>134</v>
      </c>
      <c r="V24" s="1">
        <f>'Calculate-MWs'!$C21*'Total-Composition'!$C$21</f>
        <v>3.9413663505444312</v>
      </c>
      <c r="W24" s="13" cm="1">
        <f t="array" ref="W24">V24/U24/SUMPRODUCT(V$10:V$44,1/U$10:U$44)*100</f>
        <v>1.1360707327557344</v>
      </c>
    </row>
    <row r="25" spans="2:23" x14ac:dyDescent="0.2">
      <c r="E25" s="88" t="s">
        <v>17</v>
      </c>
      <c r="F25" s="86">
        <f>'Calculate-MWs'!G13</f>
        <v>156.31155999999999</v>
      </c>
      <c r="G25" s="1">
        <f>'Calculate-MWs'!$C22*'Total-Composition'!$C$21</f>
        <v>3.0271630956562463</v>
      </c>
      <c r="H25" s="13" cm="1">
        <f t="array" ref="H25">G25/F25/SUMPRODUCT(G$10:G$44,1/F$10:F$44)*100</f>
        <v>0.74801117913604021</v>
      </c>
      <c r="I25" s="86">
        <f>'Calculate-MWs'!Q13</f>
        <v>153.74607961068145</v>
      </c>
      <c r="J25" s="1">
        <f>'Calculate-MWs'!$C22*'Total-Composition'!$C$21</f>
        <v>3.0271630956562463</v>
      </c>
      <c r="K25" s="13" cm="1">
        <f t="array" ref="K25">J25/I25/SUMPRODUCT(J$10:J$44,1/I$10:I$44)*100</f>
        <v>0.76049285031701552</v>
      </c>
      <c r="L25" s="86">
        <f>'Calculate-MWs'!R13</f>
        <v>148.68455398345301</v>
      </c>
      <c r="M25" s="1">
        <f>'Calculate-MWs'!$C22*'Total-Composition'!$C$21</f>
        <v>3.0271630956562463</v>
      </c>
      <c r="N25" s="13" cm="1">
        <f t="array" ref="N25">M25/L25/SUMPRODUCT(M$10:M$44,1/L$10:L$44)*100</f>
        <v>0.78638157882362203</v>
      </c>
      <c r="O25" s="86">
        <f>'Calculate-MWs'!AH13</f>
        <v>150.29567999999998</v>
      </c>
      <c r="P25" s="1">
        <f>'Calculate-MWs'!$C22*'Total-Composition'!$C$21</f>
        <v>3.0271630956562463</v>
      </c>
      <c r="Q25" s="13" cm="1">
        <f t="array" ref="Q25">P25/O25/SUMPRODUCT(P$10:P$44,1/O$10:O$44)*100</f>
        <v>0.77795179680609539</v>
      </c>
      <c r="R25" s="86">
        <f>'Calculate-MWs'!AK13</f>
        <v>147</v>
      </c>
      <c r="S25" s="1">
        <f>'Calculate-MWs'!$C22*'Total-Composition'!$C$21</f>
        <v>3.0271630956562463</v>
      </c>
      <c r="T25" s="13" cm="1">
        <f t="array" ref="T25">S25/R25/SUMPRODUCT(S$10:S$44,1/R$10:R$44)*100</f>
        <v>0.79539315855914205</v>
      </c>
      <c r="U25" s="86">
        <f>'Calculate-MWs'!AN13</f>
        <v>147</v>
      </c>
      <c r="V25" s="1">
        <f>'Calculate-MWs'!$C22*'Total-Composition'!$C$21</f>
        <v>3.0271630956562463</v>
      </c>
      <c r="W25" s="13" cm="1">
        <f t="array" ref="W25">V25/U25/SUMPRODUCT(V$10:V$44,1/U$10:U$44)*100</f>
        <v>0.79539315855914239</v>
      </c>
    </row>
    <row r="26" spans="2:23" x14ac:dyDescent="0.2">
      <c r="E26" s="88" t="s">
        <v>19</v>
      </c>
      <c r="F26" s="86">
        <f>'Calculate-MWs'!G14</f>
        <v>170.33843999999999</v>
      </c>
      <c r="G26" s="1">
        <f>'Calculate-MWs'!$C23*'Total-Composition'!$C$21</f>
        <v>2.573088631307809</v>
      </c>
      <c r="H26" s="13" cm="1">
        <f t="array" ref="H26">G26/F26/SUMPRODUCT(G$10:G$44,1/F$10:F$44)*100</f>
        <v>0.58345242073348091</v>
      </c>
      <c r="I26" s="86">
        <f>'Calculate-MWs'!Q14</f>
        <v>167.48315324370554</v>
      </c>
      <c r="J26" s="1">
        <f>'Calculate-MWs'!$C23*'Total-Composition'!$C$21</f>
        <v>2.573088631307809</v>
      </c>
      <c r="K26" s="13" cm="1">
        <f t="array" ref="K26">J26/I26/SUMPRODUCT(J$10:J$44,1/I$10:I$44)*100</f>
        <v>0.59339923590613386</v>
      </c>
      <c r="L26" s="86">
        <f>'Calculate-MWs'!R14</f>
        <v>160.50184458513201</v>
      </c>
      <c r="M26" s="1">
        <f>'Calculate-MWs'!$C23*'Total-Composition'!$C$21</f>
        <v>2.573088631307809</v>
      </c>
      <c r="N26" s="13" cm="1">
        <f t="array" ref="N26">M26/L26/SUMPRODUCT(M$10:M$44,1/L$10:L$44)*100</f>
        <v>0.61921017430581704</v>
      </c>
      <c r="O26" s="86">
        <f>'Calculate-MWs'!AH14</f>
        <v>164.32255999999998</v>
      </c>
      <c r="P26" s="1">
        <f>'Calculate-MWs'!$C23*'Total-Composition'!$C$21</f>
        <v>2.573088631307809</v>
      </c>
      <c r="Q26" s="13" cm="1">
        <f t="array" ref="Q26">P26/O26/SUMPRODUCT(P$10:P$44,1/O$10:O$44)*100</f>
        <v>0.60481272420515375</v>
      </c>
      <c r="R26" s="86">
        <f>'Calculate-MWs'!AK14</f>
        <v>161</v>
      </c>
      <c r="S26" s="1">
        <f>'Calculate-MWs'!$C23*'Total-Composition'!$C$21</f>
        <v>2.573088631307809</v>
      </c>
      <c r="T26" s="13" cm="1">
        <f t="array" ref="T26">S26/R26/SUMPRODUCT(S$10:S$44,1/R$10:R$44)*100</f>
        <v>0.61729425566437746</v>
      </c>
      <c r="U26" s="86">
        <f>'Calculate-MWs'!AN14</f>
        <v>161</v>
      </c>
      <c r="V26" s="1">
        <f>'Calculate-MWs'!$C23*'Total-Composition'!$C$21</f>
        <v>2.573088631307809</v>
      </c>
      <c r="W26" s="13" cm="1">
        <f t="array" ref="W26">V26/U26/SUMPRODUCT(V$10:V$44,1/U$10:U$44)*100</f>
        <v>0.61729425566437768</v>
      </c>
    </row>
    <row r="27" spans="2:23" x14ac:dyDescent="0.2">
      <c r="E27" s="88" t="s">
        <v>21</v>
      </c>
      <c r="F27" s="86">
        <f>'Calculate-MWs'!G15</f>
        <v>184.36532</v>
      </c>
      <c r="G27" s="1">
        <f>'Calculate-MWs'!$C24*'Total-Composition'!$C$21</f>
        <v>2.6336318932209339</v>
      </c>
      <c r="H27" s="13" cm="1">
        <f t="array" ref="H27">G27/F27/SUMPRODUCT(G$10:G$44,1/F$10:F$44)*100</f>
        <v>0.55174601735363604</v>
      </c>
      <c r="I27" s="86">
        <f>'Calculate-MWs'!Q15</f>
        <v>181.25178309981152</v>
      </c>
      <c r="J27" s="1">
        <f>'Calculate-MWs'!$C24*'Total-Composition'!$C$21</f>
        <v>2.6336318932209339</v>
      </c>
      <c r="K27" s="13" cm="1">
        <f t="array" ref="K27">J27/I27/SUMPRODUCT(J$10:J$44,1/I$10:I$44)*100</f>
        <v>0.56122389147538532</v>
      </c>
      <c r="L27" s="86">
        <f>'Calculate-MWs'!R15</f>
        <v>172.13006529029585</v>
      </c>
      <c r="M27" s="1">
        <f>'Calculate-MWs'!$C24*'Total-Composition'!$C$21</f>
        <v>2.6336318932209339</v>
      </c>
      <c r="N27" s="13" cm="1">
        <f t="array" ref="N27">M27/L27/SUMPRODUCT(M$10:M$44,1/L$10:L$44)*100</f>
        <v>0.59096492455617189</v>
      </c>
      <c r="O27" s="86">
        <f>'Calculate-MWs'!AH15</f>
        <v>178.34943999999999</v>
      </c>
      <c r="P27" s="1">
        <f>'Calculate-MWs'!$C24*'Total-Composition'!$C$21</f>
        <v>2.6336318932209339</v>
      </c>
      <c r="Q27" s="13" cm="1">
        <f t="array" ref="Q27">P27/O27/SUMPRODUCT(P$10:P$44,1/O$10:O$44)*100</f>
        <v>0.57035688504616955</v>
      </c>
      <c r="R27" s="86">
        <f>'Calculate-MWs'!AK15</f>
        <v>175</v>
      </c>
      <c r="S27" s="1">
        <f>'Calculate-MWs'!$C24*'Total-Composition'!$C$21</f>
        <v>2.6336318932209339</v>
      </c>
      <c r="T27" s="13" cm="1">
        <f t="array" ref="T27">S27/R27/SUMPRODUCT(S$10:S$44,1/R$10:R$44)*100</f>
        <v>0.58127332027502088</v>
      </c>
      <c r="U27" s="86">
        <f>'Calculate-MWs'!AN15</f>
        <v>175</v>
      </c>
      <c r="V27" s="1">
        <f>'Calculate-MWs'!$C24*'Total-Composition'!$C$21</f>
        <v>2.6336318932209339</v>
      </c>
      <c r="W27" s="13" cm="1">
        <f t="array" ref="W27">V27/U27/SUMPRODUCT(V$10:V$44,1/U$10:U$44)*100</f>
        <v>0.58127332027502099</v>
      </c>
    </row>
    <row r="28" spans="2:23" x14ac:dyDescent="0.2">
      <c r="E28" s="88" t="s">
        <v>23</v>
      </c>
      <c r="F28" s="86">
        <f>'Calculate-MWs'!G16</f>
        <v>198.39219999999997</v>
      </c>
      <c r="G28" s="1">
        <f>'Calculate-MWs'!$C25*'Total-Composition'!$C$21</f>
        <v>2.1856117550638094</v>
      </c>
      <c r="H28" s="13" cm="1">
        <f t="array" ref="H28">G28/F28/SUMPRODUCT(G$10:G$44,1/F$10:F$44)*100</f>
        <v>0.42551197824569709</v>
      </c>
      <c r="I28" s="86">
        <f>'Calculate-MWs'!Q16</f>
        <v>195.04722194748578</v>
      </c>
      <c r="J28" s="1">
        <f>'Calculate-MWs'!$C25*'Total-Composition'!$C$21</f>
        <v>2.1856117550638094</v>
      </c>
      <c r="K28" s="13" cm="1">
        <f t="array" ref="K28">J28/I28/SUMPRODUCT(J$10:J$44,1/I$10:I$44)*100</f>
        <v>0.43280933021053042</v>
      </c>
      <c r="L28" s="86">
        <f>'Calculate-MWs'!R16</f>
        <v>183.58740443988728</v>
      </c>
      <c r="M28" s="1">
        <f>'Calculate-MWs'!$C25*'Total-Composition'!$C$21</f>
        <v>2.1856117550638094</v>
      </c>
      <c r="N28" s="13" cm="1">
        <f t="array" ref="N28">M28/L28/SUMPRODUCT(M$10:M$44,1/L$10:L$44)*100</f>
        <v>0.45982597634118916</v>
      </c>
      <c r="O28" s="86">
        <f>'Calculate-MWs'!AH16</f>
        <v>192.37631999999996</v>
      </c>
      <c r="P28" s="1">
        <f>'Calculate-MWs'!$C25*'Total-Composition'!$C$21</f>
        <v>2.1856117550638094</v>
      </c>
      <c r="Q28" s="13" cm="1">
        <f t="array" ref="Q28">P28/O28/SUMPRODUCT(P$10:P$44,1/O$10:O$44)*100</f>
        <v>0.43881834048242535</v>
      </c>
      <c r="R28" s="86">
        <f>'Calculate-MWs'!AK16</f>
        <v>190</v>
      </c>
      <c r="S28" s="1">
        <f>'Calculate-MWs'!$C25*'Total-Composition'!$C$21</f>
        <v>2.1856117550638094</v>
      </c>
      <c r="T28" s="13" cm="1">
        <f t="array" ref="T28">S28/R28/SUMPRODUCT(S$10:S$44,1/R$10:R$44)*100</f>
        <v>0.44430661837113661</v>
      </c>
      <c r="U28" s="86">
        <f>'Calculate-MWs'!AN16</f>
        <v>190</v>
      </c>
      <c r="V28" s="1">
        <f>'Calculate-MWs'!$C25*'Total-Composition'!$C$21</f>
        <v>2.1856117550638094</v>
      </c>
      <c r="W28" s="13" cm="1">
        <f t="array" ref="W28">V28/U28/SUMPRODUCT(V$10:V$44,1/U$10:U$44)*100</f>
        <v>0.44430661837113672</v>
      </c>
    </row>
    <row r="29" spans="2:23" x14ac:dyDescent="0.2">
      <c r="E29" s="88" t="s">
        <v>25</v>
      </c>
      <c r="F29" s="86">
        <f>'Calculate-MWs'!G17</f>
        <v>212.41907999999998</v>
      </c>
      <c r="G29" s="1">
        <f>'Calculate-MWs'!$C26*'Total-Composition'!$C$21</f>
        <v>1.7739175740545601</v>
      </c>
      <c r="H29" s="13" cm="1">
        <f t="array" ref="H29">G29/F29/SUMPRODUCT(G$10:G$44,1/F$10:F$44)*100</f>
        <v>0.32255462863600398</v>
      </c>
      <c r="I29" s="86">
        <f>'Calculate-MWs'!Q17</f>
        <v>208.86541716441604</v>
      </c>
      <c r="J29" s="1">
        <f>'Calculate-MWs'!$C26*'Total-Composition'!$C$21</f>
        <v>1.7739175740545601</v>
      </c>
      <c r="K29" s="13" cm="1">
        <f t="array" ref="K29">J29/I29/SUMPRODUCT(J$10:J$44,1/I$10:I$44)*100</f>
        <v>0.32804261420963787</v>
      </c>
      <c r="L29" s="86">
        <f>'Calculate-MWs'!R17</f>
        <v>194.88871253131256</v>
      </c>
      <c r="M29" s="1">
        <f>'Calculate-MWs'!$C26*'Total-Composition'!$C$21</f>
        <v>1.7739175740545601</v>
      </c>
      <c r="N29" s="13" cm="1">
        <f t="array" ref="N29">M29/L29/SUMPRODUCT(M$10:M$44,1/L$10:L$44)*100</f>
        <v>0.35156862896096702</v>
      </c>
      <c r="O29" s="86">
        <f>'Calculate-MWs'!AH17</f>
        <v>206.40319999999997</v>
      </c>
      <c r="P29" s="1">
        <f>'Calculate-MWs'!$C26*'Total-Composition'!$C$21</f>
        <v>1.7739175740545601</v>
      </c>
      <c r="Q29" s="13" cm="1">
        <f t="array" ref="Q29">P29/O29/SUMPRODUCT(P$10:P$44,1/O$10:O$44)*100</f>
        <v>0.33195588762481215</v>
      </c>
      <c r="R29" s="86">
        <f>'Calculate-MWs'!AK17</f>
        <v>206</v>
      </c>
      <c r="S29" s="1">
        <f>'Calculate-MWs'!$C26*'Total-Composition'!$C$21</f>
        <v>1.7739175740545601</v>
      </c>
      <c r="T29" s="13" cm="1">
        <f t="array" ref="T29">S29/R29/SUMPRODUCT(S$10:S$44,1/R$10:R$44)*100</f>
        <v>0.33260561876020189</v>
      </c>
      <c r="U29" s="86">
        <f>'Calculate-MWs'!AN17</f>
        <v>206</v>
      </c>
      <c r="V29" s="1">
        <f>'Calculate-MWs'!$C26*'Total-Composition'!$C$21</f>
        <v>1.7739175740545601</v>
      </c>
      <c r="W29" s="13" cm="1">
        <f t="array" ref="W29">V29/U29/SUMPRODUCT(V$10:V$44,1/U$10:U$44)*100</f>
        <v>0.332605618760202</v>
      </c>
    </row>
    <row r="30" spans="2:23" x14ac:dyDescent="0.2">
      <c r="E30" s="88" t="s">
        <v>27</v>
      </c>
      <c r="F30" s="86">
        <f>'Calculate-MWs'!G18</f>
        <v>226.44595999999999</v>
      </c>
      <c r="G30" s="1">
        <f>'Calculate-MWs'!$C27*'Total-Composition'!$C$21</f>
        <v>1.4348753073410607</v>
      </c>
      <c r="H30" s="13" cm="1">
        <f t="array" ref="H30">G30/F30/SUMPRODUCT(G$10:G$44,1/F$10:F$44)*100</f>
        <v>0.24474450549739948</v>
      </c>
      <c r="I30" s="86">
        <f>'Calculate-MWs'!Q18</f>
        <v>222.70298482647902</v>
      </c>
      <c r="J30" s="1">
        <f>'Calculate-MWs'!$C27*'Total-Composition'!$C$21</f>
        <v>1.4348753073410607</v>
      </c>
      <c r="K30" s="13" cm="1">
        <f t="array" ref="K30">J30/I30/SUMPRODUCT(J$10:J$44,1/I$10:I$44)*100</f>
        <v>0.24885793311331672</v>
      </c>
      <c r="L30" s="86">
        <f>'Calculate-MWs'!R18</f>
        <v>206.04661582879629</v>
      </c>
      <c r="M30" s="1">
        <f>'Calculate-MWs'!$C27*'Total-Composition'!$C$21</f>
        <v>1.4348753073410607</v>
      </c>
      <c r="N30" s="13" cm="1">
        <f t="array" ref="N30">M30/L30/SUMPRODUCT(M$10:M$44,1/L$10:L$44)*100</f>
        <v>0.26897507769859913</v>
      </c>
      <c r="O30" s="86">
        <f>'Calculate-MWs'!AH18</f>
        <v>220.43007999999998</v>
      </c>
      <c r="P30" s="1">
        <f>'Calculate-MWs'!$C27*'Total-Composition'!$C$21</f>
        <v>1.4348753073410607</v>
      </c>
      <c r="Q30" s="13" cm="1">
        <f t="array" ref="Q30">P30/O30/SUMPRODUCT(P$10:P$44,1/O$10:O$44)*100</f>
        <v>0.25142396401654404</v>
      </c>
      <c r="R30" s="86">
        <f>'Calculate-MWs'!AK18</f>
        <v>222</v>
      </c>
      <c r="S30" s="1">
        <f>'Calculate-MWs'!$C27*'Total-Composition'!$C$21</f>
        <v>1.4348753073410607</v>
      </c>
      <c r="T30" s="13" cm="1">
        <f t="array" ref="T30">S30/R30/SUMPRODUCT(S$10:S$44,1/R$10:R$44)*100</f>
        <v>0.24964596622560312</v>
      </c>
      <c r="U30" s="86">
        <f>'Calculate-MWs'!AN18</f>
        <v>222</v>
      </c>
      <c r="V30" s="1">
        <f>'Calculate-MWs'!$C27*'Total-Composition'!$C$21</f>
        <v>1.4348753073410607</v>
      </c>
      <c r="W30" s="13" cm="1">
        <f t="array" ref="W30">V30/U30/SUMPRODUCT(V$10:V$44,1/U$10:U$44)*100</f>
        <v>0.2496459662256032</v>
      </c>
    </row>
    <row r="31" spans="2:23" x14ac:dyDescent="0.2">
      <c r="E31" s="88" t="s">
        <v>29</v>
      </c>
      <c r="F31" s="86">
        <f>'Calculate-MWs'!G19</f>
        <v>240.47283999999999</v>
      </c>
      <c r="G31" s="1">
        <f>'Calculate-MWs'!$C28*'Total-Composition'!$C$21</f>
        <v>1.3380060882800608</v>
      </c>
      <c r="H31" s="13" cm="1">
        <f t="array" ref="H31">G31/F31/SUMPRODUCT(G$10:G$44,1/F$10:F$44)*100</f>
        <v>0.21490940550384693</v>
      </c>
      <c r="I31" s="86">
        <f>'Calculate-MWs'!Q19</f>
        <v>236.5571288705284</v>
      </c>
      <c r="J31" s="1">
        <f>'Calculate-MWs'!$C28*'Total-Composition'!$C$21</f>
        <v>1.3380060882800608</v>
      </c>
      <c r="K31" s="13" cm="1">
        <f t="array" ref="K31">J31/I31/SUMPRODUCT(J$10:J$44,1/I$10:I$44)*100</f>
        <v>0.2184667836094128</v>
      </c>
      <c r="L31" s="86">
        <f>'Calculate-MWs'!R19</f>
        <v>217.07098085631455</v>
      </c>
      <c r="M31" s="1">
        <f>'Calculate-MWs'!$C28*'Total-Composition'!$C$21</f>
        <v>1.3380060882800608</v>
      </c>
      <c r="N31" s="13" cm="1">
        <f t="array" ref="N31">M31/L31/SUMPRODUCT(M$10:M$44,1/L$10:L$44)*100</f>
        <v>0.23807823081810303</v>
      </c>
      <c r="O31" s="86">
        <f>'Calculate-MWs'!AH19</f>
        <v>234.45695999999998</v>
      </c>
      <c r="P31" s="1">
        <f>'Calculate-MWs'!$C28*'Total-Composition'!$C$21</f>
        <v>1.3380060882800608</v>
      </c>
      <c r="Q31" s="13" cm="1">
        <f t="array" ref="Q31">P31/O31/SUMPRODUCT(P$10:P$44,1/O$10:O$44)*100</f>
        <v>0.22042371906648334</v>
      </c>
      <c r="R31" s="86">
        <f>'Calculate-MWs'!AK19</f>
        <v>237</v>
      </c>
      <c r="S31" s="1">
        <f>'Calculate-MWs'!$C28*'Total-Composition'!$C$21</f>
        <v>1.3380060882800608</v>
      </c>
      <c r="T31" s="13" cm="1">
        <f t="array" ref="T31">S31/R31/SUMPRODUCT(S$10:S$44,1/R$10:R$44)*100</f>
        <v>0.21805854465916327</v>
      </c>
      <c r="U31" s="86">
        <f>'Calculate-MWs'!AN19</f>
        <v>237</v>
      </c>
      <c r="V31" s="1">
        <f>'Calculate-MWs'!$C28*'Total-Composition'!$C$21</f>
        <v>1.3380060882800608</v>
      </c>
      <c r="W31" s="13" cm="1">
        <f t="array" ref="W31">V31/U31/SUMPRODUCT(V$10:V$44,1/U$10:U$44)*100</f>
        <v>0.2180585446591633</v>
      </c>
    </row>
    <row r="32" spans="2:23" x14ac:dyDescent="0.2">
      <c r="E32" s="88" t="s">
        <v>31</v>
      </c>
      <c r="F32" s="86">
        <f>'Calculate-MWs'!G20</f>
        <v>254.49972</v>
      </c>
      <c r="G32" s="1">
        <f>'Calculate-MWs'!$C29*'Total-Composition'!$C$21</f>
        <v>1.2956258049408731</v>
      </c>
      <c r="H32" s="13" cm="1">
        <f t="array" ref="H32">G32/F32/SUMPRODUCT(G$10:G$44,1/F$10:F$44)*100</f>
        <v>0.19663265627131915</v>
      </c>
      <c r="I32" s="86">
        <f>'Calculate-MWs'!Q20</f>
        <v>250.42554757793084</v>
      </c>
      <c r="J32" s="1">
        <f>'Calculate-MWs'!$C29*'Total-Composition'!$C$21</f>
        <v>1.2956258049408731</v>
      </c>
      <c r="K32" s="13" cm="1">
        <f t="array" ref="K32">J32/I32/SUMPRODUCT(J$10:J$44,1/I$10:I$44)*100</f>
        <v>0.19983167231903098</v>
      </c>
      <c r="L32" s="86">
        <f>'Calculate-MWs'!R20</f>
        <v>227.97053420792875</v>
      </c>
      <c r="M32" s="1">
        <f>'Calculate-MWs'!$C29*'Total-Composition'!$C$21</f>
        <v>1.2956258049408731</v>
      </c>
      <c r="N32" s="13" cm="1">
        <f t="array" ref="N32">M32/L32/SUMPRODUCT(M$10:M$44,1/L$10:L$44)*100</f>
        <v>0.21951501819205926</v>
      </c>
      <c r="O32" s="86">
        <f>'Calculate-MWs'!AH20</f>
        <v>248.48383999999999</v>
      </c>
      <c r="P32" s="1">
        <f>'Calculate-MWs'!$C29*'Total-Composition'!$C$21</f>
        <v>1.2956258049408731</v>
      </c>
      <c r="Q32" s="13" cm="1">
        <f t="array" ref="Q32">P32/O32/SUMPRODUCT(P$10:P$44,1/O$10:O$44)*100</f>
        <v>0.20139320111886147</v>
      </c>
      <c r="R32" s="86">
        <f>'Calculate-MWs'!AK20</f>
        <v>251</v>
      </c>
      <c r="S32" s="1">
        <f>'Calculate-MWs'!$C29*'Total-Composition'!$C$21</f>
        <v>1.2956258049408731</v>
      </c>
      <c r="T32" s="13" cm="1">
        <f t="array" ref="T32">S32/R32/SUMPRODUCT(S$10:S$44,1/R$10:R$44)*100</f>
        <v>0.1993743265494301</v>
      </c>
      <c r="U32" s="86">
        <f>'Calculate-MWs'!AN20</f>
        <v>251</v>
      </c>
      <c r="V32" s="1">
        <f>'Calculate-MWs'!$C29*'Total-Composition'!$C$21</f>
        <v>1.2956258049408731</v>
      </c>
      <c r="W32" s="13" cm="1">
        <f t="array" ref="W32">V32/U32/SUMPRODUCT(V$10:V$44,1/U$10:U$44)*100</f>
        <v>0.19937432654943019</v>
      </c>
    </row>
    <row r="33" spans="5:23" x14ac:dyDescent="0.2">
      <c r="E33" s="88" t="s">
        <v>33</v>
      </c>
      <c r="F33" s="86">
        <f>'Calculate-MWs'!G21</f>
        <v>268.52659999999997</v>
      </c>
      <c r="G33" s="1">
        <f>'Calculate-MWs'!$C30*'Total-Composition'!$C$21</f>
        <v>1.1745392811146234</v>
      </c>
      <c r="H33" s="13" cm="1">
        <f t="array" ref="H33">G33/F33/SUMPRODUCT(G$10:G$44,1/F$10:F$44)*100</f>
        <v>0.16894432131334186</v>
      </c>
      <c r="I33" s="86">
        <f>'Calculate-MWs'!Q21</f>
        <v>264.30634527715813</v>
      </c>
      <c r="J33" s="1">
        <f>'Calculate-MWs'!$C30*'Total-Composition'!$C$21</f>
        <v>1.1745392811146234</v>
      </c>
      <c r="K33" s="13" cm="1">
        <f t="array" ref="K33">J33/I33/SUMPRODUCT(J$10:J$44,1/I$10:I$44)*100</f>
        <v>0.17164190342841479</v>
      </c>
      <c r="L33" s="86">
        <f>'Calculate-MWs'!R21</f>
        <v>238.75323891768431</v>
      </c>
      <c r="M33" s="1">
        <f>'Calculate-MWs'!$C30*'Total-Composition'!$C$21</f>
        <v>1.1745392811146234</v>
      </c>
      <c r="N33" s="13" cm="1">
        <f t="array" ref="N33">M33/L33/SUMPRODUCT(M$10:M$44,1/L$10:L$44)*100</f>
        <v>0.19001226704706692</v>
      </c>
      <c r="O33" s="86">
        <f>'Calculate-MWs'!AH21</f>
        <v>262.51071999999999</v>
      </c>
      <c r="P33" s="1">
        <f>'Calculate-MWs'!$C30*'Total-Composition'!$C$21</f>
        <v>1.1745392811146234</v>
      </c>
      <c r="Q33" s="13" cm="1">
        <f t="array" ref="Q33">P33/O33/SUMPRODUCT(P$10:P$44,1/O$10:O$44)*100</f>
        <v>0.17281596801676988</v>
      </c>
      <c r="R33" s="86">
        <f>'Calculate-MWs'!AK21</f>
        <v>263</v>
      </c>
      <c r="S33" s="1">
        <f>'Calculate-MWs'!$C30*'Total-Composition'!$C$21</f>
        <v>1.1745392811146234</v>
      </c>
      <c r="T33" s="13" cm="1">
        <f t="array" ref="T33">S33/R33/SUMPRODUCT(S$10:S$44,1/R$10:R$44)*100</f>
        <v>0.17249446460676507</v>
      </c>
      <c r="U33" s="86">
        <f>'Calculate-MWs'!AN21</f>
        <v>263</v>
      </c>
      <c r="V33" s="1">
        <f>'Calculate-MWs'!$C30*'Total-Composition'!$C$21</f>
        <v>1.1745392811146234</v>
      </c>
      <c r="W33" s="13" cm="1">
        <f t="array" ref="W33">V33/U33/SUMPRODUCT(V$10:V$44,1/U$10:U$44)*100</f>
        <v>0.17249446460676512</v>
      </c>
    </row>
    <row r="34" spans="5:23" x14ac:dyDescent="0.2">
      <c r="E34" s="88" t="s">
        <v>34</v>
      </c>
      <c r="F34" s="86">
        <f>'Calculate-MWs'!G22</f>
        <v>282.55347999999998</v>
      </c>
      <c r="G34" s="1">
        <f>'Calculate-MWs'!$C31*'Total-Composition'!$C$21</f>
        <v>0.9868551691839359</v>
      </c>
      <c r="H34" s="13" cm="1">
        <f t="array" ref="H34">G34/F34/SUMPRODUCT(G$10:G$44,1/F$10:F$44)*100</f>
        <v>0.13490129707293358</v>
      </c>
      <c r="I34" s="86">
        <f>'Calculate-MWs'!Q22</f>
        <v>278.19795572556058</v>
      </c>
      <c r="J34" s="1">
        <f>'Calculate-MWs'!$C31*'Total-Composition'!$C$21</f>
        <v>0.9868551691839359</v>
      </c>
      <c r="K34" s="13" cm="1">
        <f t="array" ref="K34">J34/I34/SUMPRODUCT(J$10:J$44,1/I$10:I$44)*100</f>
        <v>0.13701333945844324</v>
      </c>
      <c r="L34" s="86">
        <f>'Calculate-MWs'!R22</f>
        <v>249.42582366612692</v>
      </c>
      <c r="M34" s="1">
        <f>'Calculate-MWs'!$C31*'Total-Composition'!$C$21</f>
        <v>0.9868551691839359</v>
      </c>
      <c r="N34" s="13" cm="1">
        <f t="array" ref="N34">M34/L34/SUMPRODUCT(M$10:M$44,1/L$10:L$44)*100</f>
        <v>0.1528183023883409</v>
      </c>
      <c r="O34" s="86">
        <f>'Calculate-MWs'!AH22</f>
        <v>276.5376</v>
      </c>
      <c r="P34" s="1">
        <f>'Calculate-MWs'!$C31*'Total-Composition'!$C$21</f>
        <v>0.9868551691839359</v>
      </c>
      <c r="Q34" s="13" cm="1">
        <f t="array" ref="Q34">P34/O34/SUMPRODUCT(P$10:P$44,1/O$10:O$44)*100</f>
        <v>0.13783597942728659</v>
      </c>
      <c r="R34" s="86">
        <f>'Calculate-MWs'!AK22</f>
        <v>275</v>
      </c>
      <c r="S34" s="1">
        <f>'Calculate-MWs'!$C31*'Total-Composition'!$C$21</f>
        <v>0.9868551691839359</v>
      </c>
      <c r="T34" s="13" cm="1">
        <f t="array" ref="T34">S34/R34/SUMPRODUCT(S$10:S$44,1/R$10:R$44)*100</f>
        <v>0.13860665797989521</v>
      </c>
      <c r="U34" s="86">
        <f>'Calculate-MWs'!AN22</f>
        <v>275</v>
      </c>
      <c r="V34" s="1">
        <f>'Calculate-MWs'!$C31*'Total-Composition'!$C$21</f>
        <v>0.9868551691839359</v>
      </c>
      <c r="W34" s="13" cm="1">
        <f t="array" ref="W34">V34/U34/SUMPRODUCT(V$10:V$44,1/U$10:U$44)*100</f>
        <v>0.13860665797989527</v>
      </c>
    </row>
    <row r="35" spans="5:23" x14ac:dyDescent="0.2">
      <c r="E35" s="88" t="s">
        <v>35</v>
      </c>
      <c r="F35" s="86">
        <f>'Calculate-MWs'!G23</f>
        <v>296.58035999999993</v>
      </c>
      <c r="G35" s="1">
        <f>'Calculate-MWs'!$C32*'Total-Composition'!$C$21</f>
        <v>0.9081489286968738</v>
      </c>
      <c r="H35" s="13" cm="1">
        <f t="array" ref="H35">G35/F35/SUMPRODUCT(G$10:G$44,1/F$10:F$44)*100</f>
        <v>0.1182709411117384</v>
      </c>
      <c r="I35" s="86">
        <f>'Calculate-MWs'!Q23</f>
        <v>292.09907842344535</v>
      </c>
      <c r="J35" s="1">
        <f>'Calculate-MWs'!$C32*'Total-Composition'!$C$21</f>
        <v>0.9081489286968738</v>
      </c>
      <c r="K35" s="13" cm="1">
        <f t="array" ref="K35">J35/I35/SUMPRODUCT(J$10:J$44,1/I$10:I$44)*100</f>
        <v>0.12008541239424439</v>
      </c>
      <c r="L35" s="86">
        <f>'Calculate-MWs'!R23</f>
        <v>259.99441495371246</v>
      </c>
      <c r="M35" s="1">
        <f>'Calculate-MWs'!$C32*'Total-Composition'!$C$21</f>
        <v>0.9081489286968738</v>
      </c>
      <c r="N35" s="13" cm="1">
        <f t="array" ref="N35">M35/L35/SUMPRODUCT(M$10:M$44,1/L$10:L$44)*100</f>
        <v>0.13491381458599017</v>
      </c>
      <c r="O35" s="86">
        <f>'Calculate-MWs'!AH23</f>
        <v>290.56447999999995</v>
      </c>
      <c r="P35" s="1">
        <f>'Calculate-MWs'!$C32*'Total-Composition'!$C$21</f>
        <v>0.9081489286968738</v>
      </c>
      <c r="Q35" s="13" cm="1">
        <f t="array" ref="Q35">P35/O35/SUMPRODUCT(P$10:P$44,1/O$10:O$44)*100</f>
        <v>0.12071963611126239</v>
      </c>
      <c r="R35" s="86">
        <f>'Calculate-MWs'!AK23</f>
        <v>291</v>
      </c>
      <c r="S35" s="1">
        <f>'Calculate-MWs'!$C32*'Total-Composition'!$C$21</f>
        <v>0.9081489286968738</v>
      </c>
      <c r="T35" s="13" cm="1">
        <f t="array" ref="T35">S35/R35/SUMPRODUCT(S$10:S$44,1/R$10:R$44)*100</f>
        <v>0.12053896320432356</v>
      </c>
      <c r="U35" s="86">
        <f>'Calculate-MWs'!AN23</f>
        <v>291</v>
      </c>
      <c r="V35" s="1">
        <f>'Calculate-MWs'!$C32*'Total-Composition'!$C$21</f>
        <v>0.9081489286968738</v>
      </c>
      <c r="W35" s="13" cm="1">
        <f t="array" ref="W35">V35/U35/SUMPRODUCT(V$10:V$44,1/U$10:U$44)*100</f>
        <v>0.1205389632043236</v>
      </c>
    </row>
    <row r="36" spans="5:23" x14ac:dyDescent="0.2">
      <c r="E36" s="88" t="s">
        <v>36</v>
      </c>
      <c r="F36" s="86">
        <f>'Calculate-MWs'!G24</f>
        <v>310.60723999999993</v>
      </c>
      <c r="G36" s="1">
        <f>'Calculate-MWs'!$C33*'Total-Composition'!$C$21</f>
        <v>0.81733403582718644</v>
      </c>
      <c r="H36" s="13" cm="1">
        <f t="array" ref="H36">G36/F36/SUMPRODUCT(G$10:G$44,1/F$10:F$44)*100</f>
        <v>0.10163689186128549</v>
      </c>
      <c r="I36" s="86">
        <f>'Calculate-MWs'!Q24</f>
        <v>306.00862691786932</v>
      </c>
      <c r="J36" s="1">
        <f>'Calculate-MWs'!$C33*'Total-Composition'!$C$21</f>
        <v>0.81733403582718644</v>
      </c>
      <c r="K36" s="13" cm="1">
        <f t="array" ref="K36">J36/I36/SUMPRODUCT(J$10:J$44,1/I$10:I$44)*100</f>
        <v>0.10316426298558341</v>
      </c>
      <c r="L36" s="86">
        <f>'Calculate-MWs'!R24</f>
        <v>270.46502769360995</v>
      </c>
      <c r="M36" s="1">
        <f>'Calculate-MWs'!$C33*'Total-Composition'!$C$21</f>
        <v>0.81733403582718644</v>
      </c>
      <c r="N36" s="13" cm="1">
        <f t="array" ref="N36">M36/L36/SUMPRODUCT(M$10:M$44,1/L$10:L$44)*100</f>
        <v>0.11672176152465347</v>
      </c>
      <c r="O36" s="86">
        <f>'Calculate-MWs'!AH24</f>
        <v>304.59135999999995</v>
      </c>
      <c r="P36" s="1">
        <f>'Calculate-MWs'!$C33*'Total-Composition'!$C$21</f>
        <v>0.81733403582718644</v>
      </c>
      <c r="Q36" s="13" cm="1">
        <f t="array" ref="Q36">P36/O36/SUMPRODUCT(P$10:P$44,1/O$10:O$44)*100</f>
        <v>0.10364428742565897</v>
      </c>
      <c r="R36" s="86">
        <f>'Calculate-MWs'!AK24</f>
        <v>305</v>
      </c>
      <c r="S36" s="1">
        <f>'Calculate-MWs'!$C33*'Total-Composition'!$C$21</f>
        <v>0.81733403582718644</v>
      </c>
      <c r="T36" s="13" cm="1">
        <f t="array" ref="T36">S36/R36/SUMPRODUCT(S$10:S$44,1/R$10:R$44)*100</f>
        <v>0.10350542446954866</v>
      </c>
      <c r="U36" s="86">
        <f>'Calculate-MWs'!AN24</f>
        <v>300</v>
      </c>
      <c r="V36" s="1">
        <f>'Calculate-MWs'!$C33*'Total-Composition'!$C$21</f>
        <v>0.81733403582718644</v>
      </c>
      <c r="W36" s="13" cm="1">
        <f t="array" ref="W36">V36/U36/SUMPRODUCT(V$10:V$44,1/U$10:U$44)*100</f>
        <v>0.10523051487737452</v>
      </c>
    </row>
    <row r="37" spans="5:23" x14ac:dyDescent="0.2">
      <c r="E37" s="88" t="s">
        <v>37</v>
      </c>
      <c r="F37" s="86">
        <f>'Calculate-MWs'!G25</f>
        <v>324.63411999999994</v>
      </c>
      <c r="G37" s="1">
        <f>'Calculate-MWs'!$C34*'Total-Composition'!$C$21</f>
        <v>0.75679077391406158</v>
      </c>
      <c r="H37" s="13" cm="1">
        <f t="array" ref="H37">G37/F37/SUMPRODUCT(G$10:G$44,1/F$10:F$44)*100</f>
        <v>9.0041978880865875E-2</v>
      </c>
      <c r="I37" s="86">
        <f>'Calculate-MWs'!Q25</f>
        <v>319.92568738958522</v>
      </c>
      <c r="J37" s="1">
        <f>'Calculate-MWs'!$C34*'Total-Composition'!$C$21</f>
        <v>0.75679077391406158</v>
      </c>
      <c r="K37" s="13" cm="1">
        <f t="array" ref="K37">J37/I37/SUMPRODUCT(J$10:J$44,1/I$10:I$44)*100</f>
        <v>9.1367150964196203E-2</v>
      </c>
      <c r="L37" s="86">
        <f>'Calculate-MWs'!R25</f>
        <v>280.84255636394238</v>
      </c>
      <c r="M37" s="1">
        <f>'Calculate-MWs'!$C34*'Total-Composition'!$C$21</f>
        <v>0.75679077391406158</v>
      </c>
      <c r="N37" s="13" cm="1">
        <f t="array" ref="N37">M37/L37/SUMPRODUCT(M$10:M$44,1/L$10:L$44)*100</f>
        <v>0.10408215533819795</v>
      </c>
      <c r="O37" s="86">
        <f>'Calculate-MWs'!AH25</f>
        <v>318.61823999999996</v>
      </c>
      <c r="P37" s="1">
        <f>'Calculate-MWs'!$C34*'Total-Composition'!$C$21</f>
        <v>0.75679077391406158</v>
      </c>
      <c r="Q37" s="13" cm="1">
        <f t="array" ref="Q37">P37/O37/SUMPRODUCT(P$10:P$44,1/O$10:O$44)*100</f>
        <v>9.1742075334571196E-2</v>
      </c>
      <c r="R37" s="86">
        <f>'Calculate-MWs'!AK25</f>
        <v>318</v>
      </c>
      <c r="S37" s="1">
        <f>'Calculate-MWs'!$C34*'Total-Composition'!$C$21</f>
        <v>0.75679077391406158</v>
      </c>
      <c r="T37" s="13" cm="1">
        <f t="array" ref="T37">S37/R37/SUMPRODUCT(S$10:S$44,1/R$10:R$44)*100</f>
        <v>9.192043577688197E-2</v>
      </c>
      <c r="U37" s="86">
        <f>'Calculate-MWs'!AN25</f>
        <v>312</v>
      </c>
      <c r="V37" s="1">
        <f>'Calculate-MWs'!$C34*'Total-Composition'!$C$21</f>
        <v>0.75679077391406158</v>
      </c>
      <c r="W37" s="13" cm="1">
        <f t="array" ref="W37">V37/U37/SUMPRODUCT(V$10:V$44,1/U$10:U$44)*100</f>
        <v>9.3688136464898972E-2</v>
      </c>
    </row>
    <row r="38" spans="5:23" x14ac:dyDescent="0.2">
      <c r="E38" s="88" t="s">
        <v>38</v>
      </c>
      <c r="F38" s="86">
        <f>'Calculate-MWs'!G26</f>
        <v>338.66099999999994</v>
      </c>
      <c r="G38" s="1">
        <f>'Calculate-MWs'!$C35*'Total-Composition'!$C$21</f>
        <v>0.69019318580962408</v>
      </c>
      <c r="H38" s="13" cm="1">
        <f t="array" ref="H38">G38/F38/SUMPRODUCT(G$10:G$44,1/F$10:F$44)*100</f>
        <v>7.8717056591305776E-2</v>
      </c>
      <c r="I38" s="86">
        <f>'Calculate-MWs'!Q26</f>
        <v>333.8494857055868</v>
      </c>
      <c r="J38" s="1">
        <f>'Calculate-MWs'!$C35*'Total-Composition'!$C$21</f>
        <v>0.69019318580962408</v>
      </c>
      <c r="K38" s="13" cm="1">
        <f t="array" ref="K38">J38/I38/SUMPRODUCT(J$10:J$44,1/I$10:I$44)*100</f>
        <v>7.9851544614262346E-2</v>
      </c>
      <c r="L38" s="86">
        <f>'Calculate-MWs'!R26</f>
        <v>291.13186502944603</v>
      </c>
      <c r="M38" s="1">
        <f>'Calculate-MWs'!$C35*'Total-Composition'!$C$21</f>
        <v>0.69019318580962408</v>
      </c>
      <c r="N38" s="13" cm="1">
        <f t="array" ref="N38">M38/L38/SUMPRODUCT(M$10:M$44,1/L$10:L$44)*100</f>
        <v>9.1568118452344194E-2</v>
      </c>
      <c r="O38" s="86">
        <f>'Calculate-MWs'!AH26</f>
        <v>332.64511999999996</v>
      </c>
      <c r="P38" s="1">
        <f>'Calculate-MWs'!$C35*'Total-Composition'!$C$21</f>
        <v>0.69019318580962408</v>
      </c>
      <c r="Q38" s="13" cm="1">
        <f t="array" ref="Q38">P38/O38/SUMPRODUCT(P$10:P$44,1/O$10:O$44)*100</f>
        <v>8.0140652904417228E-2</v>
      </c>
      <c r="R38" s="86">
        <f>'Calculate-MWs'!AK26</f>
        <v>331</v>
      </c>
      <c r="S38" s="1">
        <f>'Calculate-MWs'!$C35*'Total-Composition'!$C$21</f>
        <v>0.69019318580962408</v>
      </c>
      <c r="T38" s="13" cm="1">
        <f t="array" ref="T38">S38/R38/SUMPRODUCT(S$10:S$44,1/R$10:R$44)*100</f>
        <v>8.0538964055190926E-2</v>
      </c>
      <c r="U38" s="86">
        <f>'Calculate-MWs'!AN26</f>
        <v>324</v>
      </c>
      <c r="V38" s="1">
        <f>'Calculate-MWs'!$C35*'Total-Composition'!$C$21</f>
        <v>0.69019318580962408</v>
      </c>
      <c r="W38" s="13" cm="1">
        <f t="array" ref="W38">V38/U38/SUMPRODUCT(V$10:V$44,1/U$10:U$44)*100</f>
        <v>8.2279003402062373E-2</v>
      </c>
    </row>
    <row r="39" spans="5:23" x14ac:dyDescent="0.2">
      <c r="E39" s="88" t="s">
        <v>39</v>
      </c>
      <c r="F39" s="86">
        <f>'Calculate-MWs'!G27</f>
        <v>352.68787999999995</v>
      </c>
      <c r="G39" s="1">
        <f>'Calculate-MWs'!$C36*'Total-Composition'!$C$21</f>
        <v>0.6599215548530617</v>
      </c>
      <c r="H39" s="13" cm="1">
        <f t="array" ref="H39">G39/F39/SUMPRODUCT(G$10:G$44,1/F$10:F$44)*100</f>
        <v>7.2271179716145259E-2</v>
      </c>
      <c r="I39" s="86">
        <f>'Calculate-MWs'!Q27</f>
        <v>347.7793612806534</v>
      </c>
      <c r="J39" s="1">
        <f>'Calculate-MWs'!$C36*'Total-Composition'!$C$21</f>
        <v>0.6599215548530617</v>
      </c>
      <c r="K39" s="13" cm="1">
        <f t="array" ref="K39">J39/I39/SUMPRODUCT(J$10:J$44,1/I$10:I$44)*100</f>
        <v>7.3291207003560066E-2</v>
      </c>
      <c r="L39" s="86">
        <f>'Calculate-MWs'!R27</f>
        <v>301.33770064410515</v>
      </c>
      <c r="M39" s="1">
        <f>'Calculate-MWs'!$C36*'Total-Composition'!$C$21</f>
        <v>0.6599215548530617</v>
      </c>
      <c r="N39" s="13" cm="1">
        <f t="array" ref="N39">M39/L39/SUMPRODUCT(M$10:M$44,1/L$10:L$44)*100</f>
        <v>8.4586724809751698E-2</v>
      </c>
      <c r="O39" s="86">
        <f>'Calculate-MWs'!AH27</f>
        <v>346.67199999999997</v>
      </c>
      <c r="P39" s="1">
        <f>'Calculate-MWs'!$C36*'Total-Composition'!$C$21</f>
        <v>0.6599215548530617</v>
      </c>
      <c r="Q39" s="13" cm="1">
        <f t="array" ref="Q39">P39/O39/SUMPRODUCT(P$10:P$44,1/O$10:O$44)*100</f>
        <v>7.352531833890906E-2</v>
      </c>
      <c r="R39" s="86">
        <f>'Calculate-MWs'!AK27</f>
        <v>345</v>
      </c>
      <c r="S39" s="1">
        <f>'Calculate-MWs'!$C36*'Total-Composition'!$C$21</f>
        <v>0.6599215548530617</v>
      </c>
      <c r="T39" s="13" cm="1">
        <f t="array" ref="T39">S39/R39/SUMPRODUCT(S$10:S$44,1/R$10:R$44)*100</f>
        <v>7.3881649736771776E-2</v>
      </c>
      <c r="U39" s="86">
        <f>'Calculate-MWs'!AN27</f>
        <v>337</v>
      </c>
      <c r="V39" s="1">
        <f>'Calculate-MWs'!$C36*'Total-Composition'!$C$21</f>
        <v>0.6599215548530617</v>
      </c>
      <c r="W39" s="13" cm="1">
        <f t="array" ref="W39">V39/U39/SUMPRODUCT(V$10:V$44,1/U$10:U$44)*100</f>
        <v>7.5635516792837601E-2</v>
      </c>
    </row>
    <row r="40" spans="5:23" x14ac:dyDescent="0.2">
      <c r="E40" s="88" t="s">
        <v>40</v>
      </c>
      <c r="F40" s="86">
        <f>'Calculate-MWs'!G28</f>
        <v>366.71475999999996</v>
      </c>
      <c r="G40" s="1">
        <f>'Calculate-MWs'!$C37*'Total-Composition'!$C$21</f>
        <v>0.59937829293993683</v>
      </c>
      <c r="H40" s="13" cm="1">
        <f t="array" ref="H40">G40/F40/SUMPRODUCT(G$10:G$44,1/F$10:F$44)*100</f>
        <v>6.3130028562314727E-2</v>
      </c>
      <c r="I40" s="86">
        <f>'Calculate-MWs'!Q28</f>
        <v>361.71474634218731</v>
      </c>
      <c r="J40" s="1">
        <f>'Calculate-MWs'!$C37*'Total-Composition'!$C$21</f>
        <v>0.59937829293993683</v>
      </c>
      <c r="K40" s="13" cm="1">
        <f t="array" ref="K40">J40/I40/SUMPRODUCT(J$10:J$44,1/I$10:I$44)*100</f>
        <v>6.4002680308536522E-2</v>
      </c>
      <c r="L40" s="86">
        <f>'Calculate-MWs'!R28</f>
        <v>311.46430124168052</v>
      </c>
      <c r="M40" s="1">
        <f>'Calculate-MWs'!$C37*'Total-Composition'!$C$21</f>
        <v>0.59937829293993683</v>
      </c>
      <c r="N40" s="13" cm="1">
        <f t="array" ref="N40">M40/L40/SUMPRODUCT(M$10:M$44,1/L$10:L$44)*100</f>
        <v>7.4328625080723465E-2</v>
      </c>
      <c r="O40" s="86">
        <f>'Calculate-MWs'!AH28</f>
        <v>360.69887999999997</v>
      </c>
      <c r="P40" s="1">
        <f>'Calculate-MWs'!$C37*'Total-Composition'!$C$21</f>
        <v>0.59937829293993683</v>
      </c>
      <c r="Q40" s="13" cm="1">
        <f t="array" ref="Q40">P40/O40/SUMPRODUCT(P$10:P$44,1/O$10:O$44)*100</f>
        <v>6.4182936395650578E-2</v>
      </c>
      <c r="R40" s="86">
        <f>'Calculate-MWs'!AK28</f>
        <v>359</v>
      </c>
      <c r="S40" s="1">
        <f>'Calculate-MWs'!$C37*'Total-Composition'!$C$21</f>
        <v>0.59937829293993683</v>
      </c>
      <c r="T40" s="13" cm="1">
        <f t="array" ref="T40">S40/R40/SUMPRODUCT(S$10:S$44,1/R$10:R$44)*100</f>
        <v>6.4486666498669604E-2</v>
      </c>
      <c r="U40" s="86">
        <f>'Calculate-MWs'!AN28</f>
        <v>349</v>
      </c>
      <c r="V40" s="1">
        <f>'Calculate-MWs'!$C37*'Total-Composition'!$C$21</f>
        <v>0.59937829293993683</v>
      </c>
      <c r="W40" s="13" cm="1">
        <f t="array" ref="W40">V40/U40/SUMPRODUCT(V$10:V$44,1/U$10:U$44)*100</f>
        <v>6.6334421985737524E-2</v>
      </c>
    </row>
    <row r="41" spans="5:23" x14ac:dyDescent="0.2">
      <c r="E41" s="88" t="s">
        <v>41</v>
      </c>
      <c r="F41" s="86">
        <f>'Calculate-MWs'!G29</f>
        <v>380.74163999999996</v>
      </c>
      <c r="G41" s="1">
        <f>'Calculate-MWs'!$C38*'Total-Composition'!$C$21</f>
        <v>0.53278070483549922</v>
      </c>
      <c r="H41" s="13" cm="1">
        <f t="array" ref="H41">G41/F41/SUMPRODUCT(G$10:G$44,1/F$10:F$44)*100</f>
        <v>5.4048230181080584E-2</v>
      </c>
      <c r="I41" s="86">
        <f>'Calculate-MWs'!Q29</f>
        <v>375.65514945076831</v>
      </c>
      <c r="J41" s="1">
        <f>'Calculate-MWs'!$C38*'Total-Composition'!$C$21</f>
        <v>0.53278070483549922</v>
      </c>
      <c r="K41" s="13" cm="1">
        <f t="array" ref="K41">J41/I41/SUMPRODUCT(J$10:J$44,1/I$10:I$44)*100</f>
        <v>5.4780060457920166E-2</v>
      </c>
      <c r="L41" s="86">
        <f>'Calculate-MWs'!R29</f>
        <v>321.51549188935047</v>
      </c>
      <c r="M41" s="1">
        <f>'Calculate-MWs'!$C38*'Total-Composition'!$C$21</f>
        <v>0.53278070483549922</v>
      </c>
      <c r="N41" s="13" cm="1">
        <f t="array" ref="N41">M41/L41/SUMPRODUCT(M$10:M$44,1/L$10:L$44)*100</f>
        <v>6.4004417570411101E-2</v>
      </c>
      <c r="O41" s="86">
        <f>'Calculate-MWs'!AH29</f>
        <v>374.72575999999998</v>
      </c>
      <c r="P41" s="1">
        <f>'Calculate-MWs'!$C38*'Total-Composition'!$C$21</f>
        <v>0.53278070483549922</v>
      </c>
      <c r="Q41" s="13" cm="1">
        <f t="array" ref="Q41">P41/O41/SUMPRODUCT(P$10:P$44,1/O$10:O$44)*100</f>
        <v>5.491592517750081E-2</v>
      </c>
      <c r="R41" s="86">
        <f>'Calculate-MWs'!AK29</f>
        <v>374</v>
      </c>
      <c r="S41" s="1">
        <f>'Calculate-MWs'!$C38*'Total-Composition'!$C$21</f>
        <v>0.53278070483549922</v>
      </c>
      <c r="T41" s="13" cm="1">
        <f t="array" ref="T41">S41/R41/SUMPRODUCT(S$10:S$44,1/R$10:R$44)*100</f>
        <v>5.5022491439150042E-2</v>
      </c>
      <c r="U41" s="86">
        <f>'Calculate-MWs'!AN29</f>
        <v>360</v>
      </c>
      <c r="V41" s="1">
        <f>'Calculate-MWs'!$C38*'Total-Composition'!$C$21</f>
        <v>0.53278070483549922</v>
      </c>
      <c r="W41" s="13" cm="1">
        <f t="array" ref="W41">V41/U41/SUMPRODUCT(V$10:V$44,1/U$10:U$44)*100</f>
        <v>5.7162254995117005E-2</v>
      </c>
    </row>
    <row r="42" spans="5:23" x14ac:dyDescent="0.2">
      <c r="E42" s="88" t="s">
        <v>42</v>
      </c>
      <c r="F42" s="86">
        <f>'Calculate-MWs'!G30</f>
        <v>394.76851999999991</v>
      </c>
      <c r="G42" s="1">
        <f>'Calculate-MWs'!$C39*'Total-Composition'!$C$21</f>
        <v>0.50250907387893673</v>
      </c>
      <c r="H42" s="13" cm="1">
        <f t="array" ref="H42">G42/F42/SUMPRODUCT(G$10:G$44,1/F$10:F$44)*100</f>
        <v>4.9165986829852043E-2</v>
      </c>
      <c r="I42" s="86">
        <f>'Calculate-MWs'!Q30</f>
        <v>389.60014236041638</v>
      </c>
      <c r="J42" s="1">
        <f>'Calculate-MWs'!$C39*'Total-Composition'!$C$21</f>
        <v>0.50250907387893673</v>
      </c>
      <c r="K42" s="13" cm="1">
        <f t="array" ref="K42">J42/I42/SUMPRODUCT(J$10:J$44,1/I$10:I$44)*100</f>
        <v>4.9818215510827206E-2</v>
      </c>
      <c r="L42" s="86">
        <f>'Calculate-MWs'!R30</f>
        <v>331.49501830235096</v>
      </c>
      <c r="M42" s="1">
        <f>'Calculate-MWs'!$C39*'Total-Composition'!$C$21</f>
        <v>0.50250907387893673</v>
      </c>
      <c r="N42" s="13" cm="1">
        <f t="array" ref="N42">M42/L42/SUMPRODUCT(M$10:M$44,1/L$10:L$44)*100</f>
        <v>5.8550454105036912E-2</v>
      </c>
      <c r="O42" s="86">
        <f>'Calculate-MWs'!AH30</f>
        <v>388.75263999999993</v>
      </c>
      <c r="P42" s="1">
        <f>'Calculate-MWs'!$C39*'Total-Composition'!$C$21</f>
        <v>0.50250907387893673</v>
      </c>
      <c r="Q42" s="13" cm="1">
        <f t="array" ref="Q42">P42/O42/SUMPRODUCT(P$10:P$44,1/O$10:O$44)*100</f>
        <v>4.9926821989325118E-2</v>
      </c>
      <c r="R42" s="86">
        <f>'Calculate-MWs'!AK30</f>
        <v>388</v>
      </c>
      <c r="S42" s="1">
        <f>'Calculate-MWs'!$C39*'Total-Composition'!$C$21</f>
        <v>0.50250907387893673</v>
      </c>
      <c r="T42" s="13" cm="1">
        <f t="array" ref="T42">S42/R42/SUMPRODUCT(S$10:S$44,1/R$10:R$44)*100</f>
        <v>5.002366972979426E-2</v>
      </c>
      <c r="U42" s="86">
        <f>'Calculate-MWs'!AN30</f>
        <v>372</v>
      </c>
      <c r="V42" s="1">
        <f>'Calculate-MWs'!$C39*'Total-Composition'!$C$21</f>
        <v>0.50250907387893673</v>
      </c>
      <c r="W42" s="13" cm="1">
        <f t="array" ref="W42">V42/U42/SUMPRODUCT(V$10:V$44,1/U$10:U$44)*100</f>
        <v>5.2175225417097258E-2</v>
      </c>
    </row>
    <row r="43" spans="5:23" x14ac:dyDescent="0.2">
      <c r="E43" s="88" t="s">
        <v>43</v>
      </c>
      <c r="F43" s="86">
        <f>'Calculate-MWs'!G31</f>
        <v>408.79539999999992</v>
      </c>
      <c r="G43" s="1">
        <f>'Calculate-MWs'!$C40*'Total-Composition'!$C$21</f>
        <v>0.46012879053974931</v>
      </c>
      <c r="H43" s="13" cm="1">
        <f t="array" ref="H43">G43/F43/SUMPRODUCT(G$10:G$44,1/F$10:F$44)*100</f>
        <v>4.3474718000362698E-2</v>
      </c>
      <c r="I43" s="86">
        <f>'Calculate-MWs'!Q31</f>
        <v>403.54934949711071</v>
      </c>
      <c r="J43" s="1">
        <f>'Calculate-MWs'!$C40*'Total-Composition'!$C$21</f>
        <v>0.46012879053974931</v>
      </c>
      <c r="K43" s="13" cm="1">
        <f t="array" ref="K43">J43/I43/SUMPRODUCT(J$10:J$44,1/I$10:I$44)*100</f>
        <v>4.4039879526488274E-2</v>
      </c>
      <c r="L43" s="86">
        <f>'Calculate-MWs'!R31</f>
        <v>341.40625091855071</v>
      </c>
      <c r="M43" s="1">
        <f>'Calculate-MWs'!$C40*'Total-Composition'!$C$21</f>
        <v>0.46012879053974931</v>
      </c>
      <c r="N43" s="13" cm="1">
        <f t="array" ref="N43">M43/L43/SUMPRODUCT(M$10:M$44,1/L$10:L$44)*100</f>
        <v>5.2056061325852492E-2</v>
      </c>
      <c r="O43" s="86">
        <f>'Calculate-MWs'!AH31</f>
        <v>402.77951999999993</v>
      </c>
      <c r="P43" s="1">
        <f>'Calculate-MWs'!$C40*'Total-Composition'!$C$21</f>
        <v>0.46012879053974931</v>
      </c>
      <c r="Q43" s="13" cm="1">
        <f t="array" ref="Q43">P43/O43/SUMPRODUCT(P$10:P$44,1/O$10:O$44)*100</f>
        <v>4.4124052620265981E-2</v>
      </c>
      <c r="R43" s="86">
        <f>'Calculate-MWs'!AK31</f>
        <v>402</v>
      </c>
      <c r="S43" s="1">
        <f>'Calculate-MWs'!$C40*'Total-Composition'!$C$21</f>
        <v>0.46012879053974931</v>
      </c>
      <c r="T43" s="13" cm="1">
        <f t="array" ref="T43">S43/R43/SUMPRODUCT(S$10:S$44,1/R$10:R$44)*100</f>
        <v>4.4209613768272295E-2</v>
      </c>
      <c r="U43" s="86">
        <f>'Calculate-MWs'!AN31</f>
        <v>382</v>
      </c>
      <c r="V43" s="1">
        <f>'Calculate-MWs'!$C40*'Total-Composition'!$C$21</f>
        <v>0.46012879053974931</v>
      </c>
      <c r="W43" s="13" cm="1">
        <f t="array" ref="W43">V43/U43/SUMPRODUCT(V$10:V$44,1/U$10:U$44)*100</f>
        <v>4.6524253232579756E-2</v>
      </c>
    </row>
    <row r="44" spans="5:23" x14ac:dyDescent="0.2">
      <c r="E44" s="90" t="s">
        <v>44</v>
      </c>
      <c r="F44" s="87">
        <f>'Calculate-MWs'!G32</f>
        <v>310.79269197576076</v>
      </c>
      <c r="G44" s="27">
        <f>'Calculate-MWs'!$C41*'Total-Composition'!$C$21</f>
        <v>7.2833544081489272</v>
      </c>
      <c r="H44" s="8" cm="1">
        <f t="array" ref="H44">G44/F44/SUMPRODUCT(G$10:G$44,1/F$10:F$44)*100</f>
        <v>0.9051572008245764</v>
      </c>
      <c r="I44" s="87">
        <f>'Calculate-MWs'!Q32</f>
        <v>375.24065619317867</v>
      </c>
      <c r="J44" s="27">
        <f>'Calculate-MWs'!$C41*'Total-Composition'!$C$21</f>
        <v>7.2833544081489272</v>
      </c>
      <c r="K44" s="8" cm="1">
        <f t="array" ref="K44">J44/I44/SUMPRODUCT(J$10:J$44,1/I$10:I$44)*100</f>
        <v>0.74969553128776456</v>
      </c>
      <c r="L44" s="87">
        <f>'Calculate-MWs'!R32</f>
        <v>815.64742822159928</v>
      </c>
      <c r="M44" s="27">
        <f>'Calculate-MWs'!$C41*'Total-Composition'!$C$21</f>
        <v>7.2833544081489272</v>
      </c>
      <c r="N44" s="8" cm="1">
        <f t="array" ref="N44">M44/L44/SUMPRODUCT(M$10:M$44,1/L$10:L$44)*100</f>
        <v>0.3448993196961137</v>
      </c>
      <c r="O44" s="87">
        <f>'Calculate-MWs'!AH32</f>
        <v>675.40040031254443</v>
      </c>
      <c r="P44" s="27">
        <f>'Calculate-MWs'!$C41*'Total-Composition'!$C$21</f>
        <v>7.2833544081489272</v>
      </c>
      <c r="Q44" s="8" cm="1">
        <f t="array" ref="Q44">P44/O44/SUMPRODUCT(P$10:P$44,1/O$10:O$44)*100</f>
        <v>0.41651773225975908</v>
      </c>
      <c r="R44" s="87">
        <f>'Calculate-MWs'!AK32</f>
        <v>801.37688935894573</v>
      </c>
      <c r="S44" s="27">
        <f>'Calculate-MWs'!$C41*'Total-Composition'!$C$21</f>
        <v>7.2833544081489272</v>
      </c>
      <c r="T44" s="8" cm="1">
        <f t="array" ref="T44">S44/R44/SUMPRODUCT(S$10:S$44,1/R$10:R$44)*100</f>
        <v>0.35104112289855377</v>
      </c>
      <c r="U44" s="87">
        <f>'Calculate-MWs'!AN32</f>
        <v>838.24686215748477</v>
      </c>
      <c r="V44" s="27">
        <f>'Calculate-MWs'!$C41*'Total-Composition'!$C$21</f>
        <v>7.2833544081489272</v>
      </c>
      <c r="W44" s="8" cm="1">
        <f t="array" ref="W44">V44/U44/SUMPRODUCT(V$10:V$44,1/U$10:U$44)*100</f>
        <v>0.33560071120512286</v>
      </c>
    </row>
    <row r="45" spans="5:23" ht="15" x14ac:dyDescent="0.25">
      <c r="E45" s="100" t="s">
        <v>132</v>
      </c>
      <c r="F45" s="106">
        <v>2976.39</v>
      </c>
      <c r="G45" s="103" t="s">
        <v>127</v>
      </c>
      <c r="H45" s="97"/>
      <c r="I45" s="106">
        <v>2883.54</v>
      </c>
      <c r="J45" s="103" t="s">
        <v>127</v>
      </c>
      <c r="K45" s="97"/>
      <c r="L45" s="106">
        <v>2687.38</v>
      </c>
      <c r="M45" s="103" t="s">
        <v>127</v>
      </c>
      <c r="N45" s="97"/>
      <c r="O45" s="106">
        <v>2689.14</v>
      </c>
      <c r="P45" s="103" t="s">
        <v>127</v>
      </c>
      <c r="Q45" s="97"/>
      <c r="R45" s="106">
        <v>2654.81</v>
      </c>
      <c r="S45" s="103" t="s">
        <v>127</v>
      </c>
      <c r="T45" s="97"/>
      <c r="U45" s="106">
        <v>2650.48</v>
      </c>
      <c r="V45" s="103" t="s">
        <v>127</v>
      </c>
      <c r="W45" s="97"/>
    </row>
    <row r="46" spans="5:23" ht="15" x14ac:dyDescent="0.25">
      <c r="E46" s="101" t="s">
        <v>133</v>
      </c>
      <c r="F46" s="107">
        <v>0.86850000000000005</v>
      </c>
      <c r="G46" s="104" t="s">
        <v>134</v>
      </c>
      <c r="H46" s="98"/>
      <c r="I46" s="107">
        <v>0.86860000000000004</v>
      </c>
      <c r="J46" s="104" t="s">
        <v>134</v>
      </c>
      <c r="K46" s="98"/>
      <c r="L46" s="107">
        <v>0.86860000000000004</v>
      </c>
      <c r="M46" s="104" t="s">
        <v>134</v>
      </c>
      <c r="N46" s="98"/>
      <c r="O46" s="107">
        <v>0.86909999999999998</v>
      </c>
      <c r="P46" s="104" t="s">
        <v>134</v>
      </c>
      <c r="Q46" s="98"/>
      <c r="R46" s="121">
        <v>0.86899999999999999</v>
      </c>
      <c r="S46" s="104" t="s">
        <v>134</v>
      </c>
      <c r="T46" s="98"/>
      <c r="U46" s="121">
        <v>0.86899999999999999</v>
      </c>
      <c r="V46" s="104" t="s">
        <v>134</v>
      </c>
      <c r="W46" s="98"/>
    </row>
    <row r="47" spans="5:23" ht="15" x14ac:dyDescent="0.25">
      <c r="E47" s="102" t="s">
        <v>135</v>
      </c>
      <c r="F47" s="108">
        <v>0.81840000000000002</v>
      </c>
      <c r="G47" s="105" t="s">
        <v>136</v>
      </c>
      <c r="H47" s="99"/>
      <c r="I47" s="108">
        <v>0.81779999999999997</v>
      </c>
      <c r="J47" s="105" t="s">
        <v>136</v>
      </c>
      <c r="K47" s="99"/>
      <c r="L47" s="108">
        <v>0.80859999999999999</v>
      </c>
      <c r="M47" s="105" t="s">
        <v>136</v>
      </c>
      <c r="N47" s="99"/>
      <c r="O47" s="108">
        <v>0.80500000000000005</v>
      </c>
      <c r="P47" s="105" t="s">
        <v>136</v>
      </c>
      <c r="Q47" s="99"/>
      <c r="R47" s="108">
        <v>0.80310000000000004</v>
      </c>
      <c r="S47" s="105" t="s">
        <v>136</v>
      </c>
      <c r="T47" s="99"/>
      <c r="U47" s="108">
        <v>0.80289999999999995</v>
      </c>
      <c r="V47" s="105" t="s">
        <v>136</v>
      </c>
      <c r="W47" s="99"/>
    </row>
  </sheetData>
  <mergeCells count="7">
    <mergeCell ref="R7:T7"/>
    <mergeCell ref="U7:W7"/>
    <mergeCell ref="E2:G2"/>
    <mergeCell ref="O7:Q7"/>
    <mergeCell ref="L7:N7"/>
    <mergeCell ref="I7:K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Input-Composition</vt:lpstr>
      <vt:lpstr>Calculate-MWs</vt:lpstr>
      <vt:lpstr>Molar-Compositions</vt:lpstr>
      <vt:lpstr>Total-Composition</vt:lpstr>
      <vt:lpstr>Mole-Composition-Plot</vt:lpstr>
      <vt:lpstr>Deviation-Plot</vt:lpstr>
      <vt:lpstr>Deviation-Plot-2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AcademyUser</dc:creator>
  <cp:keywords/>
  <dc:description/>
  <cp:lastModifiedBy>Markus Hays Nielsen</cp:lastModifiedBy>
  <cp:revision/>
  <dcterms:created xsi:type="dcterms:W3CDTF">2023-04-12T12:50:20Z</dcterms:created>
  <dcterms:modified xsi:type="dcterms:W3CDTF">2023-12-20T07:27:36Z</dcterms:modified>
  <cp:category/>
  <cp:contentStatus/>
</cp:coreProperties>
</file>